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ackup\CWSB\Desktop\Ojwang\SECOND BARICHO-WORKS\"/>
    </mc:Choice>
  </mc:AlternateContent>
  <bookViews>
    <workbookView xWindow="0" yWindow="0" windowWidth="19200" windowHeight="7050"/>
  </bookViews>
  <sheets>
    <sheet name="Cover Page " sheetId="108" r:id="rId1"/>
    <sheet name="PREAMBLE" sheetId="109" r:id="rId2"/>
    <sheet name="Summary" sheetId="87" r:id="rId3"/>
    <sheet name="Bill No. 1 - P &amp; G" sheetId="89" r:id="rId4"/>
    <sheet name="Bill No. 2 - Rising Main" sheetId="97" r:id="rId5"/>
    <sheet name="BILL NO. 5 RISING MAIN" sheetId="81" state="hidden" r:id="rId6"/>
    <sheet name="BILL NO. 7 - TRANSMISSION MAIN " sheetId="82" state="hidden" r:id="rId7"/>
    <sheet name="BILL NO. 9 -CONSUMER CONNECTION" sheetId="84" state="hidden" r:id="rId8"/>
    <sheet name="BILL NO. 8 - DISTRIBUTION LINES" sheetId="83" state="hidden" r:id="rId9"/>
    <sheet name="BILL NO. 3 - RAW WATER" sheetId="94" state="hidden" r:id="rId10"/>
    <sheet name="Bill No. 3 - Reservoir" sheetId="104" r:id="rId11"/>
    <sheet name="Bill No. 4 - Pump Station" sheetId="110" r:id="rId12"/>
    <sheet name="Bill No. 5 - Dayworks" sheetId="9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 localSheetId="0" hidden="1">#REF!</definedName>
    <definedName name="_" hidden="1">#REF!</definedName>
    <definedName name="________________________________________________________cyt1">[1]Rates!$E$268</definedName>
    <definedName name="________________________________________________________hnt15">[1]Rates!$E$117</definedName>
    <definedName name="________________________________________________________hnt20">[1]Rates!$E$118</definedName>
    <definedName name="________________________________________________________hnt25">[1]Rates!$E$119</definedName>
    <definedName name="_______________________________________________________cyt1">[2]Rates!$E$271</definedName>
    <definedName name="_______________________________________________________hnt15">[2]Rates!$E$117</definedName>
    <definedName name="_______________________________________________________hnt16">[1]Rates!$E$117</definedName>
    <definedName name="_______________________________________________________hnt20">[2]Rates!$E$118</definedName>
    <definedName name="_______________________________________________________hnt21">[1]Rates!$E$118</definedName>
    <definedName name="_______________________________________________________hnt25">[2]Rates!$E$119</definedName>
    <definedName name="_______________________________________________________hnt40">[1]Rates!$E$119</definedName>
    <definedName name="______________________________________________________cyt1">[2]Rates!$E$271</definedName>
    <definedName name="______________________________________________________hnt15">[2]Rates!$E$117</definedName>
    <definedName name="______________________________________________________hnt16">[1]Rates!$E$117</definedName>
    <definedName name="______________________________________________________hnt20">[2]Rates!$E$118</definedName>
    <definedName name="______________________________________________________hnt21">[1]Rates!$E$118</definedName>
    <definedName name="______________________________________________________hnt25">[2]Rates!$E$119</definedName>
    <definedName name="______________________________________________________hnt40">[1]Rates!$E$119</definedName>
    <definedName name="_____________________________________________________cyt1">[1]Rates!$E$268</definedName>
    <definedName name="_____________________________________________________hnt15">[1]Rates!$E$117</definedName>
    <definedName name="_____________________________________________________hnt20">[1]Rates!$E$118</definedName>
    <definedName name="_____________________________________________________hnt25">[1]Rates!$E$119</definedName>
    <definedName name="____________________________________________________cyt1" localSheetId="10">[3]Rates!$E$268</definedName>
    <definedName name="____________________________________________________cyt1">[4]Rates!$E$268</definedName>
    <definedName name="____________________________________________________hnt15" localSheetId="10">[3]Rates!$E$117</definedName>
    <definedName name="____________________________________________________hnt15">[4]Rates!$E$117</definedName>
    <definedName name="____________________________________________________hnt16">[1]Rates!$E$117</definedName>
    <definedName name="____________________________________________________hnt20" localSheetId="10">[3]Rates!$E$118</definedName>
    <definedName name="____________________________________________________hnt20">[4]Rates!$E$118</definedName>
    <definedName name="____________________________________________________hnt21">[1]Rates!$E$118</definedName>
    <definedName name="____________________________________________________hnt25" localSheetId="10">[3]Rates!$E$119</definedName>
    <definedName name="____________________________________________________hnt25">[4]Rates!$E$119</definedName>
    <definedName name="____________________________________________________hnt40">[1]Rates!$E$119</definedName>
    <definedName name="___________________________________________________cyt1">[1]Rates!$E$268</definedName>
    <definedName name="___________________________________________________hnt15">[1]Rates!$E$117</definedName>
    <definedName name="___________________________________________________hnt16">[1]Rates!$E$117</definedName>
    <definedName name="___________________________________________________hnt20">[1]Rates!$E$118</definedName>
    <definedName name="___________________________________________________hnt21">[1]Rates!$E$118</definedName>
    <definedName name="___________________________________________________hnt25">[1]Rates!$E$119</definedName>
    <definedName name="___________________________________________________hnt40">[1]Rates!$E$119</definedName>
    <definedName name="__________________________________________________cyt1">[1]Rates!$E$268</definedName>
    <definedName name="__________________________________________________hnt15">[1]Rates!$E$117</definedName>
    <definedName name="__________________________________________________hnt16">[5]Rates!$E$117</definedName>
    <definedName name="__________________________________________________hnt20">[1]Rates!$E$118</definedName>
    <definedName name="__________________________________________________hnt21">[5]Rates!$E$118</definedName>
    <definedName name="__________________________________________________hnt25">[1]Rates!$E$119</definedName>
    <definedName name="__________________________________________________hnt40">[5]Rates!$E$119</definedName>
    <definedName name="_________________________________________________cyt1">[1]Rates!$E$268</definedName>
    <definedName name="_________________________________________________hnt15">[1]Rates!$E$117</definedName>
    <definedName name="_________________________________________________hnt16">[1]Rates!$E$117</definedName>
    <definedName name="_________________________________________________hnt20">[1]Rates!$E$118</definedName>
    <definedName name="_________________________________________________hnt21">[1]Rates!$E$118</definedName>
    <definedName name="_________________________________________________hnt25">[1]Rates!$E$119</definedName>
    <definedName name="_________________________________________________hnt40">[1]Rates!$E$119</definedName>
    <definedName name="________________________________________________cyt1">[1]Rates!$E$268</definedName>
    <definedName name="________________________________________________hnt15">[1]Rates!$E$117</definedName>
    <definedName name="________________________________________________hnt16">[1]Rates!$E$117</definedName>
    <definedName name="________________________________________________hnt20">[1]Rates!$E$118</definedName>
    <definedName name="________________________________________________hnt21">[1]Rates!$E$118</definedName>
    <definedName name="________________________________________________hnt25">[1]Rates!$E$119</definedName>
    <definedName name="________________________________________________hnt40">[1]Rates!$E$119</definedName>
    <definedName name="_______________________________________________cyt1">[1]Rates!$E$268</definedName>
    <definedName name="_______________________________________________hnt15">[1]Rates!$E$117</definedName>
    <definedName name="_______________________________________________hnt16">[5]Rates!$E$117</definedName>
    <definedName name="_______________________________________________hnt20">[1]Rates!$E$118</definedName>
    <definedName name="_______________________________________________hnt21">[5]Rates!$E$118</definedName>
    <definedName name="_______________________________________________hnt25">[1]Rates!$E$119</definedName>
    <definedName name="_______________________________________________hnt40">[5]Rates!$E$119</definedName>
    <definedName name="______________________________________________cyt1">[1]Rates!$E$268</definedName>
    <definedName name="______________________________________________hnt15">[1]Rates!$E$117</definedName>
    <definedName name="______________________________________________hnt16">[1]Rates!$E$117</definedName>
    <definedName name="______________________________________________hnt20">[1]Rates!$E$118</definedName>
    <definedName name="______________________________________________hnt21">[1]Rates!$E$118</definedName>
    <definedName name="______________________________________________hnt25">[1]Rates!$E$119</definedName>
    <definedName name="______________________________________________hnt40">[1]Rates!$E$119</definedName>
    <definedName name="_____________________________________________cyt1">[1]Rates!$E$268</definedName>
    <definedName name="_____________________________________________hnt15">[1]Rates!$E$117</definedName>
    <definedName name="_____________________________________________hnt16">[1]Rates!$E$117</definedName>
    <definedName name="_____________________________________________hnt20">[1]Rates!$E$118</definedName>
    <definedName name="_____________________________________________hnt21">[1]Rates!$E$118</definedName>
    <definedName name="_____________________________________________hnt25">[1]Rates!$E$119</definedName>
    <definedName name="_____________________________________________hnt40">[1]Rates!$E$119</definedName>
    <definedName name="____________________________________________cyt1">[1]Rates!$E$268</definedName>
    <definedName name="____________________________________________hnt15">[1]Rates!$E$117</definedName>
    <definedName name="____________________________________________hnt16">[6]Rates!$E$117</definedName>
    <definedName name="____________________________________________hnt20">[1]Rates!$E$118</definedName>
    <definedName name="____________________________________________hnt21">[6]Rates!$E$118</definedName>
    <definedName name="____________________________________________hnt25">[1]Rates!$E$119</definedName>
    <definedName name="____________________________________________hnt40">[6]Rates!$E$119</definedName>
    <definedName name="___________________________________________cyt1">[1]Rates!$E$268</definedName>
    <definedName name="___________________________________________hnt15">[1]Rates!$E$117</definedName>
    <definedName name="___________________________________________hnt16">[1]Rates!$E$117</definedName>
    <definedName name="___________________________________________hnt20">[1]Rates!$E$118</definedName>
    <definedName name="___________________________________________hnt21">[1]Rates!$E$118</definedName>
    <definedName name="___________________________________________hnt25">[1]Rates!$E$119</definedName>
    <definedName name="___________________________________________hnt40">[1]Rates!$E$119</definedName>
    <definedName name="__________________________________________cyt1">[1]Rates!$E$268</definedName>
    <definedName name="__________________________________________hnt15">[1]Rates!$E$117</definedName>
    <definedName name="__________________________________________hnt16">[1]Rates!$E$117</definedName>
    <definedName name="__________________________________________hnt20">[1]Rates!$E$118</definedName>
    <definedName name="__________________________________________hnt21">[1]Rates!$E$118</definedName>
    <definedName name="__________________________________________hnt25">[1]Rates!$E$119</definedName>
    <definedName name="__________________________________________hnt40">[1]Rates!$E$119</definedName>
    <definedName name="_________________________________________cyt1">[1]Rates!$E$268</definedName>
    <definedName name="_________________________________________hnt15">[1]Rates!$E$117</definedName>
    <definedName name="_________________________________________hnt16">[1]Rates!$E$117</definedName>
    <definedName name="_________________________________________hnt20">[1]Rates!$E$118</definedName>
    <definedName name="_________________________________________hnt21">[1]Rates!$E$118</definedName>
    <definedName name="_________________________________________hnt25">[1]Rates!$E$119</definedName>
    <definedName name="_________________________________________hnt40">[1]Rates!$E$119</definedName>
    <definedName name="________________________________________cyt1">[1]Rates!$E$268</definedName>
    <definedName name="________________________________________hnt15">[1]Rates!$E$117</definedName>
    <definedName name="________________________________________hnt16">[1]Rates!$E$117</definedName>
    <definedName name="________________________________________hnt20">[1]Rates!$E$118</definedName>
    <definedName name="________________________________________hnt21">[1]Rates!$E$118</definedName>
    <definedName name="________________________________________hnt25">[1]Rates!$E$119</definedName>
    <definedName name="________________________________________hnt40">[1]Rates!$E$119</definedName>
    <definedName name="_______________________________________cyt1">[1]Rates!$E$268</definedName>
    <definedName name="_______________________________________hnt15">[1]Rates!$E$117</definedName>
    <definedName name="_______________________________________hnt16">[1]Rates!$E$117</definedName>
    <definedName name="_______________________________________hnt20">[1]Rates!$E$118</definedName>
    <definedName name="_______________________________________hnt21">[1]Rates!$E$118</definedName>
    <definedName name="_______________________________________hnt25">[1]Rates!$E$119</definedName>
    <definedName name="_______________________________________hnt40">[1]Rates!$E$119</definedName>
    <definedName name="______________________________________cyt1">[1]Rates!$E$268</definedName>
    <definedName name="______________________________________hnt15">[1]Rates!$E$117</definedName>
    <definedName name="______________________________________hnt16">[7]Rates!$E$117</definedName>
    <definedName name="______________________________________hnt20">[1]Rates!$E$118</definedName>
    <definedName name="______________________________________hnt21">[7]Rates!$E$118</definedName>
    <definedName name="______________________________________hnt25">[1]Rates!$E$119</definedName>
    <definedName name="______________________________________hnt40">[7]Rates!$E$119</definedName>
    <definedName name="_____________________________________cyt1">[1]Rates!$E$268</definedName>
    <definedName name="_____________________________________hnt15">[1]Rates!$E$117</definedName>
    <definedName name="_____________________________________hnt16">[1]Rates!$E$117</definedName>
    <definedName name="_____________________________________hnt20">[1]Rates!$E$118</definedName>
    <definedName name="_____________________________________hnt21">[1]Rates!$E$118</definedName>
    <definedName name="_____________________________________hnt25">[1]Rates!$E$119</definedName>
    <definedName name="_____________________________________hnt40">[1]Rates!$E$119</definedName>
    <definedName name="____________________________________cyt1">[1]Rates!$E$268</definedName>
    <definedName name="____________________________________hnt15">[1]Rates!$E$117</definedName>
    <definedName name="____________________________________hnt16">[1]Rates!$E$117</definedName>
    <definedName name="____________________________________hnt20">[1]Rates!$E$118</definedName>
    <definedName name="____________________________________hnt21">[1]Rates!$E$118</definedName>
    <definedName name="____________________________________hnt25">[1]Rates!$E$119</definedName>
    <definedName name="____________________________________hnt40">[1]Rates!$E$119</definedName>
    <definedName name="___________________________________cyt1">[1]Rates!$E$268</definedName>
    <definedName name="___________________________________hnt15">[1]Rates!$E$117</definedName>
    <definedName name="___________________________________hnt16" localSheetId="10">[3]Rates!$E$117</definedName>
    <definedName name="___________________________________hnt16">[4]Rates!$E$117</definedName>
    <definedName name="___________________________________hnt20">[1]Rates!$E$118</definedName>
    <definedName name="___________________________________hnt21" localSheetId="10">[3]Rates!$E$118</definedName>
    <definedName name="___________________________________hnt21">[4]Rates!$E$118</definedName>
    <definedName name="___________________________________hnt25">[1]Rates!$E$119</definedName>
    <definedName name="___________________________________hnt40" localSheetId="10">[3]Rates!$E$119</definedName>
    <definedName name="___________________________________hnt40">[4]Rates!$E$119</definedName>
    <definedName name="__________________________________cyt1">[1]Rates!$E$268</definedName>
    <definedName name="__________________________________hnt15">[1]Rates!$E$117</definedName>
    <definedName name="__________________________________hnt16">[1]Rates!$E$117</definedName>
    <definedName name="__________________________________hnt20">[1]Rates!$E$118</definedName>
    <definedName name="__________________________________hnt21">[1]Rates!$E$118</definedName>
    <definedName name="__________________________________hnt25">[1]Rates!$E$119</definedName>
    <definedName name="__________________________________hnt40">[1]Rates!$E$119</definedName>
    <definedName name="_________________________________cyt1">[1]Rates!$E$268</definedName>
    <definedName name="_________________________________hnt15">[1]Rates!$E$117</definedName>
    <definedName name="_________________________________hnt16">[1]Rates!$E$117</definedName>
    <definedName name="_________________________________hnt20">[1]Rates!$E$118</definedName>
    <definedName name="_________________________________hnt21">[1]Rates!$E$118</definedName>
    <definedName name="_________________________________hnt25">[1]Rates!$E$119</definedName>
    <definedName name="_________________________________hnt40">[1]Rates!$E$119</definedName>
    <definedName name="________________________________cyt1">[1]Rates!$E$268</definedName>
    <definedName name="________________________________hnt15">[1]Rates!$E$117</definedName>
    <definedName name="________________________________hnt16" localSheetId="10">[8]Rates!$E$117</definedName>
    <definedName name="________________________________hnt16">[9]Rates!$E$117</definedName>
    <definedName name="________________________________hnt20">[1]Rates!$E$118</definedName>
    <definedName name="________________________________hnt21" localSheetId="10">[8]Rates!$E$118</definedName>
    <definedName name="________________________________hnt21">[9]Rates!$E$118</definedName>
    <definedName name="________________________________hnt25">[1]Rates!$E$119</definedName>
    <definedName name="________________________________hnt40" localSheetId="10">[8]Rates!$E$119</definedName>
    <definedName name="________________________________hnt40">[9]Rates!$E$119</definedName>
    <definedName name="_______________________________cyt1">[1]Rates!$E$268</definedName>
    <definedName name="_______________________________hnt15">[1]Rates!$E$117</definedName>
    <definedName name="_______________________________hnt16">[1]Rates!$E$117</definedName>
    <definedName name="_______________________________hnt20">[1]Rates!$E$118</definedName>
    <definedName name="_______________________________hnt21">[1]Rates!$E$118</definedName>
    <definedName name="_______________________________hnt25">[1]Rates!$E$119</definedName>
    <definedName name="_______________________________hnt40">[1]Rates!$E$119</definedName>
    <definedName name="______________________________cyt1">[1]Rates!$E$268</definedName>
    <definedName name="______________________________hnt15">[1]Rates!$E$117</definedName>
    <definedName name="______________________________hnt16">[1]Rates!$E$117</definedName>
    <definedName name="______________________________hnt20">[1]Rates!$E$118</definedName>
    <definedName name="______________________________hnt21">[1]Rates!$E$118</definedName>
    <definedName name="______________________________hnt25">[1]Rates!$E$119</definedName>
    <definedName name="______________________________hnt40">[1]Rates!$E$119</definedName>
    <definedName name="_____________________________cyt1">[1]Rates!$E$268</definedName>
    <definedName name="_____________________________hnt15">[1]Rates!$E$117</definedName>
    <definedName name="_____________________________hnt16" localSheetId="10">[3]Rates!$E$117</definedName>
    <definedName name="_____________________________hnt16">[4]Rates!$E$117</definedName>
    <definedName name="_____________________________hnt20">[1]Rates!$E$118</definedName>
    <definedName name="_____________________________hnt21" localSheetId="10">[3]Rates!$E$118</definedName>
    <definedName name="_____________________________hnt21">[4]Rates!$E$118</definedName>
    <definedName name="_____________________________hnt25">[1]Rates!$E$119</definedName>
    <definedName name="_____________________________hnt40" localSheetId="10">[3]Rates!$E$119</definedName>
    <definedName name="_____________________________hnt40">[4]Rates!$E$119</definedName>
    <definedName name="____________________________cyt1">[1]Rates!$E$268</definedName>
    <definedName name="____________________________hnt15">[1]Rates!$E$117</definedName>
    <definedName name="____________________________hnt16">[1]Rates!$E$117</definedName>
    <definedName name="____________________________hnt20">[1]Rates!$E$118</definedName>
    <definedName name="____________________________hnt21">[1]Rates!$E$118</definedName>
    <definedName name="____________________________hnt25">[1]Rates!$E$119</definedName>
    <definedName name="____________________________hnt40">[1]Rates!$E$119</definedName>
    <definedName name="___________________________cyt1">[1]Rates!$E$268</definedName>
    <definedName name="___________________________hnt15">[1]Rates!$E$117</definedName>
    <definedName name="___________________________hnt16">[1]Rates!$E$117</definedName>
    <definedName name="___________________________hnt20">[1]Rates!$E$118</definedName>
    <definedName name="___________________________hnt21">[1]Rates!$E$118</definedName>
    <definedName name="___________________________hnt25">[1]Rates!$E$119</definedName>
    <definedName name="___________________________hnt40">[1]Rates!$E$119</definedName>
    <definedName name="__________________________cyt1">[1]Rates!$E$268</definedName>
    <definedName name="__________________________hnt15">[1]Rates!$E$117</definedName>
    <definedName name="__________________________hnt16" localSheetId="10">[3]Rates!$E$117</definedName>
    <definedName name="__________________________hnt16">[4]Rates!$E$117</definedName>
    <definedName name="__________________________hnt20">[1]Rates!$E$118</definedName>
    <definedName name="__________________________hnt21" localSheetId="10">[3]Rates!$E$118</definedName>
    <definedName name="__________________________hnt21">[4]Rates!$E$118</definedName>
    <definedName name="__________________________hnt25">[1]Rates!$E$119</definedName>
    <definedName name="__________________________hnt40" localSheetId="10">[3]Rates!$E$119</definedName>
    <definedName name="__________________________hnt40">[4]Rates!$E$119</definedName>
    <definedName name="_________________________cyt1">[1]Rates!$E$268</definedName>
    <definedName name="_________________________hnt15">[1]Rates!$E$117</definedName>
    <definedName name="_________________________hnt16">[1]Rates!$E$117</definedName>
    <definedName name="_________________________hnt20">[1]Rates!$E$118</definedName>
    <definedName name="_________________________hnt21">[1]Rates!$E$118</definedName>
    <definedName name="_________________________hnt25">[1]Rates!$E$119</definedName>
    <definedName name="_________________________hnt40">[1]Rates!$E$119</definedName>
    <definedName name="________________________cyt1">[1]Rates!$E$268</definedName>
    <definedName name="________________________hnt15">[1]Rates!$E$117</definedName>
    <definedName name="________________________hnt16">[1]Rates!$E$117</definedName>
    <definedName name="________________________hnt20">[1]Rates!$E$118</definedName>
    <definedName name="________________________hnt21">[1]Rates!$E$118</definedName>
    <definedName name="________________________hnt25">[1]Rates!$E$119</definedName>
    <definedName name="________________________hnt40">[1]Rates!$E$119</definedName>
    <definedName name="_______________________cyt1">[1]Rates!$E$268</definedName>
    <definedName name="_______________________hnt15">[1]Rates!$E$117</definedName>
    <definedName name="_______________________hnt16" localSheetId="10">[3]Rates!$E$117</definedName>
    <definedName name="_______________________hnt16">[4]Rates!$E$117</definedName>
    <definedName name="_______________________hnt20">[1]Rates!$E$118</definedName>
    <definedName name="_______________________hnt21" localSheetId="10">[3]Rates!$E$118</definedName>
    <definedName name="_______________________hnt21">[4]Rates!$E$118</definedName>
    <definedName name="_______________________hnt25">[1]Rates!$E$119</definedName>
    <definedName name="_______________________hnt40" localSheetId="10">[3]Rates!$E$119</definedName>
    <definedName name="_______________________hnt40">[4]Rates!$E$119</definedName>
    <definedName name="______________________cyt1">[1]Rates!$E$268</definedName>
    <definedName name="______________________hnt15">[1]Rates!$E$117</definedName>
    <definedName name="______________________hnt16">[1]Rates!$E$117</definedName>
    <definedName name="______________________hnt20">[1]Rates!$E$118</definedName>
    <definedName name="______________________hnt21">[1]Rates!$E$118</definedName>
    <definedName name="______________________hnt25">[1]Rates!$E$119</definedName>
    <definedName name="______________________hnt40">[1]Rates!$E$119</definedName>
    <definedName name="_____________________cyt1">[1]Rates!$E$268</definedName>
    <definedName name="_____________________hnt15">[1]Rates!$E$117</definedName>
    <definedName name="_____________________hnt16" localSheetId="10">[1]Rates!$E$117</definedName>
    <definedName name="_____________________hnt16">[10]Rates!$E$117</definedName>
    <definedName name="_____________________hnt20">[1]Rates!$E$118</definedName>
    <definedName name="_____________________hnt21" localSheetId="10">[1]Rates!$E$118</definedName>
    <definedName name="_____________________hnt21">[10]Rates!$E$118</definedName>
    <definedName name="_____________________hnt25">[1]Rates!$E$119</definedName>
    <definedName name="_____________________hnt40" localSheetId="10">[1]Rates!$E$119</definedName>
    <definedName name="_____________________hnt40">[10]Rates!$E$119</definedName>
    <definedName name="____________________cyt1">[1]Rates!$E$268</definedName>
    <definedName name="____________________hnt15">[1]Rates!$E$117</definedName>
    <definedName name="____________________hnt16" localSheetId="10">[1]Rates!$E$117</definedName>
    <definedName name="____________________hnt16">[10]Rates!$E$117</definedName>
    <definedName name="____________________hnt20">[1]Rates!$E$118</definedName>
    <definedName name="____________________hnt21" localSheetId="10">[1]Rates!$E$118</definedName>
    <definedName name="____________________hnt21">[10]Rates!$E$118</definedName>
    <definedName name="____________________hnt25">[1]Rates!$E$119</definedName>
    <definedName name="____________________hnt40" localSheetId="10">[1]Rates!$E$119</definedName>
    <definedName name="____________________hnt40">[10]Rates!$E$119</definedName>
    <definedName name="___________________cyt1" localSheetId="10">[11]Rates!$E$268</definedName>
    <definedName name="___________________cyt1">[12]Rates!$E$268</definedName>
    <definedName name="___________________hnt15" localSheetId="10">[11]Rates!$E$117</definedName>
    <definedName name="___________________hnt15">[12]Rates!$E$117</definedName>
    <definedName name="___________________hnt16" localSheetId="10">[13]Rates!$E$117</definedName>
    <definedName name="___________________hnt16">[10]Rates!$E$117</definedName>
    <definedName name="___________________hnt20" localSheetId="10">[11]Rates!$E$118</definedName>
    <definedName name="___________________hnt20">[12]Rates!$E$118</definedName>
    <definedName name="___________________hnt21" localSheetId="10">[13]Rates!$E$118</definedName>
    <definedName name="___________________hnt21">[10]Rates!$E$118</definedName>
    <definedName name="___________________hnt25" localSheetId="10">[11]Rates!$E$119</definedName>
    <definedName name="___________________hnt25">[12]Rates!$E$119</definedName>
    <definedName name="___________________hnt40" localSheetId="10">[13]Rates!$E$119</definedName>
    <definedName name="___________________hnt40">[10]Rates!$E$119</definedName>
    <definedName name="__________________cyt1">[1]Rates!$E$268</definedName>
    <definedName name="__________________hnt15">[1]Rates!$E$117</definedName>
    <definedName name="__________________hnt16" localSheetId="10">[13]Rates!$E$117</definedName>
    <definedName name="__________________hnt16">[10]Rates!$E$117</definedName>
    <definedName name="__________________hnt20">[1]Rates!$E$118</definedName>
    <definedName name="__________________hnt21" localSheetId="10">[13]Rates!$E$118</definedName>
    <definedName name="__________________hnt21">[10]Rates!$E$118</definedName>
    <definedName name="__________________hnt25">[1]Rates!$E$119</definedName>
    <definedName name="__________________hnt40" localSheetId="10">[13]Rates!$E$119</definedName>
    <definedName name="__________________hnt40">[10]Rates!$E$119</definedName>
    <definedName name="_________________cyt1">[1]Rates!$E$268</definedName>
    <definedName name="_________________hnt15">[1]Rates!$E$117</definedName>
    <definedName name="_________________hnt16" localSheetId="10">[13]Rates!$E$117</definedName>
    <definedName name="_________________hnt16">[10]Rates!$E$117</definedName>
    <definedName name="_________________hnt20">[1]Rates!$E$118</definedName>
    <definedName name="_________________hnt21" localSheetId="10">[13]Rates!$E$118</definedName>
    <definedName name="_________________hnt21">[10]Rates!$E$118</definedName>
    <definedName name="_________________hnt25">[1]Rates!$E$119</definedName>
    <definedName name="_________________hnt40" localSheetId="10">[13]Rates!$E$119</definedName>
    <definedName name="_________________hnt40">[10]Rates!$E$119</definedName>
    <definedName name="________________cyt1" localSheetId="10">[13]Rates!$E$268</definedName>
    <definedName name="________________cyt1">[14]Rates!$E$268</definedName>
    <definedName name="________________hnt15" localSheetId="10">[13]Rates!$E$117</definedName>
    <definedName name="________________hnt15">[14]Rates!$E$117</definedName>
    <definedName name="________________hnt16" localSheetId="10">[13]Rates!$E$117</definedName>
    <definedName name="________________hnt16">[10]Rates!$E$117</definedName>
    <definedName name="________________hnt20" localSheetId="10">[13]Rates!$E$118</definedName>
    <definedName name="________________hnt20">[14]Rates!$E$118</definedName>
    <definedName name="________________hnt21" localSheetId="10">[13]Rates!$E$118</definedName>
    <definedName name="________________hnt21">[10]Rates!$E$118</definedName>
    <definedName name="________________hnt25" localSheetId="10">[13]Rates!$E$119</definedName>
    <definedName name="________________hnt25">[14]Rates!$E$119</definedName>
    <definedName name="________________hnt40" localSheetId="10">[13]Rates!$E$119</definedName>
    <definedName name="________________hnt40">[10]Rates!$E$119</definedName>
    <definedName name="_______________cyt1">[1]Rates!$E$268</definedName>
    <definedName name="_______________hnt15">[1]Rates!$E$117</definedName>
    <definedName name="_______________hnt16" localSheetId="10">[13]Rates!$E$117</definedName>
    <definedName name="_______________hnt16">[10]Rates!$E$117</definedName>
    <definedName name="_______________hnt20">[1]Rates!$E$118</definedName>
    <definedName name="_______________hnt21" localSheetId="10">[13]Rates!$E$118</definedName>
    <definedName name="_______________hnt21">[10]Rates!$E$118</definedName>
    <definedName name="_______________hnt25">[1]Rates!$E$119</definedName>
    <definedName name="_______________hnt40" localSheetId="10">[13]Rates!$E$119</definedName>
    <definedName name="_______________hnt40">[10]Rates!$E$119</definedName>
    <definedName name="______________cyt1">[1]Rates!$E$268</definedName>
    <definedName name="______________hnt15">[1]Rates!$E$117</definedName>
    <definedName name="______________hnt16" localSheetId="10">[13]Rates!$E$117</definedName>
    <definedName name="______________hnt16">[10]Rates!$E$117</definedName>
    <definedName name="______________hnt20">[1]Rates!$E$118</definedName>
    <definedName name="______________hnt21" localSheetId="10">[13]Rates!$E$118</definedName>
    <definedName name="______________hnt21">[10]Rates!$E$118</definedName>
    <definedName name="______________hnt25">[1]Rates!$E$119</definedName>
    <definedName name="______________hnt40" localSheetId="10">[13]Rates!$E$119</definedName>
    <definedName name="______________hnt40">[10]Rates!$E$119</definedName>
    <definedName name="_____________cyt1">[1]Rates!$E$268</definedName>
    <definedName name="_____________hnt15">[1]Rates!$E$117</definedName>
    <definedName name="_____________hnt16" localSheetId="10">[13]Rates!$E$117</definedName>
    <definedName name="_____________hnt16">[10]Rates!$E$117</definedName>
    <definedName name="_____________hnt20">[1]Rates!$E$118</definedName>
    <definedName name="_____________hnt21" localSheetId="10">[13]Rates!$E$118</definedName>
    <definedName name="_____________hnt21">[10]Rates!$E$118</definedName>
    <definedName name="_____________hnt25">[1]Rates!$E$119</definedName>
    <definedName name="_____________hnt40" localSheetId="10">[13]Rates!$E$119</definedName>
    <definedName name="_____________hnt40">[10]Rates!$E$119</definedName>
    <definedName name="____________cyt1">[1]Rates!$E$268</definedName>
    <definedName name="____________hnt15">[1]Rates!$E$117</definedName>
    <definedName name="____________hnt16" localSheetId="10">[13]Rates!$E$117</definedName>
    <definedName name="____________hnt16">[10]Rates!$E$117</definedName>
    <definedName name="____________hnt20">[1]Rates!$E$118</definedName>
    <definedName name="____________hnt21" localSheetId="10">[13]Rates!$E$118</definedName>
    <definedName name="____________hnt21">[10]Rates!$E$118</definedName>
    <definedName name="____________hnt25">[1]Rates!$E$119</definedName>
    <definedName name="____________hnt40" localSheetId="10">[13]Rates!$E$119</definedName>
    <definedName name="____________hnt40">[10]Rates!$E$119</definedName>
    <definedName name="___________cyt1">[1]Rates!$E$268</definedName>
    <definedName name="___________hnt15">[1]Rates!$E$117</definedName>
    <definedName name="___________hnt16" localSheetId="10">[13]Rates!$E$117</definedName>
    <definedName name="___________hnt16">[10]Rates!$E$117</definedName>
    <definedName name="___________hnt20">[1]Rates!$E$118</definedName>
    <definedName name="___________hnt21" localSheetId="10">[13]Rates!$E$118</definedName>
    <definedName name="___________hnt21">[10]Rates!$E$118</definedName>
    <definedName name="___________hnt25">[1]Rates!$E$119</definedName>
    <definedName name="___________hnt40" localSheetId="10">[13]Rates!$E$119</definedName>
    <definedName name="___________hnt40">[10]Rates!$E$119</definedName>
    <definedName name="__________cyt1">[1]Rates!$E$268</definedName>
    <definedName name="__________hnt15">[1]Rates!$E$117</definedName>
    <definedName name="__________hnt16" localSheetId="10">[13]Rates!$E$117</definedName>
    <definedName name="__________hnt16">[10]Rates!$E$117</definedName>
    <definedName name="__________hnt20">[1]Rates!$E$118</definedName>
    <definedName name="__________hnt21" localSheetId="10">[13]Rates!$E$118</definedName>
    <definedName name="__________hnt21">[10]Rates!$E$118</definedName>
    <definedName name="__________hnt25">[1]Rates!$E$119</definedName>
    <definedName name="__________hnt40" localSheetId="10">[13]Rates!$E$119</definedName>
    <definedName name="__________hnt40">[10]Rates!$E$119</definedName>
    <definedName name="_________cyt1">[1]Rates!$E$268</definedName>
    <definedName name="_________hnt15">[1]Rates!$E$117</definedName>
    <definedName name="_________hnt16" localSheetId="10">[13]Rates!$E$117</definedName>
    <definedName name="_________hnt16">[10]Rates!$E$117</definedName>
    <definedName name="_________hnt20">[1]Rates!$E$118</definedName>
    <definedName name="_________hnt21" localSheetId="10">[13]Rates!$E$118</definedName>
    <definedName name="_________hnt21">[10]Rates!$E$118</definedName>
    <definedName name="_________hnt25">[1]Rates!$E$119</definedName>
    <definedName name="_________hnt40" localSheetId="10">[13]Rates!$E$119</definedName>
    <definedName name="_________hnt40">[10]Rates!$E$119</definedName>
    <definedName name="________cyt1">[1]Rates!$E$268</definedName>
    <definedName name="________hnt15">[1]Rates!$E$117</definedName>
    <definedName name="________hnt16" localSheetId="10">[13]Rates!$E$117</definedName>
    <definedName name="________hnt16">[10]Rates!$E$117</definedName>
    <definedName name="________hnt20">[1]Rates!$E$118</definedName>
    <definedName name="________hnt21" localSheetId="10">[13]Rates!$E$118</definedName>
    <definedName name="________hnt21">[10]Rates!$E$118</definedName>
    <definedName name="________hnt25">[1]Rates!$E$119</definedName>
    <definedName name="________hnt40" localSheetId="10">[13]Rates!$E$119</definedName>
    <definedName name="________hnt40">[10]Rates!$E$119</definedName>
    <definedName name="_______bng200">[15]Rates!$E$282</definedName>
    <definedName name="_______bng250">[15]Rates!$E$283</definedName>
    <definedName name="_______cyt1">[1]Rates!$E$268</definedName>
    <definedName name="_______hnt15">[1]Rates!$E$117</definedName>
    <definedName name="_______hnt16" localSheetId="10">[13]Rates!$E$117</definedName>
    <definedName name="_______hnt16">[10]Rates!$E$117</definedName>
    <definedName name="_______hnt20">[1]Rates!$E$118</definedName>
    <definedName name="_______hnt21" localSheetId="10">[13]Rates!$E$118</definedName>
    <definedName name="_______hnt21">[10]Rates!$E$118</definedName>
    <definedName name="_______hnt25">[1]Rates!$E$119</definedName>
    <definedName name="_______hnt30">[5]Rates!$E$117</definedName>
    <definedName name="_______hnt40" localSheetId="10">[13]Rates!$E$119</definedName>
    <definedName name="_______hnt40">[10]Rates!$E$119</definedName>
    <definedName name="______bng200">[15]Rates!$E$282</definedName>
    <definedName name="______bng250">[15]Rates!$E$283</definedName>
    <definedName name="______cyt1">[1]Rates!$E$268</definedName>
    <definedName name="______hnt15">[1]Rates!$E$117</definedName>
    <definedName name="______hnt16" localSheetId="10">[13]Rates!$E$117</definedName>
    <definedName name="______hnt16">[10]Rates!$E$117</definedName>
    <definedName name="______hnt20">[1]Rates!$E$118</definedName>
    <definedName name="______hnt21" localSheetId="10">[13]Rates!$E$118</definedName>
    <definedName name="______hnt21">[10]Rates!$E$118</definedName>
    <definedName name="______hnt25">[1]Rates!$E$119</definedName>
    <definedName name="______hnt30">[5]Rates!$E$117</definedName>
    <definedName name="______hnt40" localSheetId="10">[13]Rates!$E$119</definedName>
    <definedName name="______hnt40">[10]Rates!$E$119</definedName>
    <definedName name="_____bng200">[16]Rates!$E$282</definedName>
    <definedName name="_____bng250">[16]Rates!$E$283</definedName>
    <definedName name="_____cyt1">[1]Rates!$E$268</definedName>
    <definedName name="_____hn">[5]Rates!$E$117</definedName>
    <definedName name="_____hnt15">[1]Rates!$E$117</definedName>
    <definedName name="_____hnt16" localSheetId="10">[13]Rates!$E$117</definedName>
    <definedName name="_____hnt16">[10]Rates!$E$117</definedName>
    <definedName name="_____hnt20">[1]Rates!$E$118</definedName>
    <definedName name="_____hnt21" localSheetId="10">[13]Rates!$E$118</definedName>
    <definedName name="_____hnt21">[10]Rates!$E$118</definedName>
    <definedName name="_____hnt25">[1]Rates!$E$119</definedName>
    <definedName name="_____hnt30">[5]Rates!$E$117</definedName>
    <definedName name="_____hnt40" localSheetId="10">[13]Rates!$E$119</definedName>
    <definedName name="_____hnt40">[10]Rates!$E$119</definedName>
    <definedName name="____bng200">[15]Rates!$E$282</definedName>
    <definedName name="____bng250">[15]Rates!$E$283</definedName>
    <definedName name="____cyt1">[1]Rates!$E$268</definedName>
    <definedName name="____hnt15">[1]Rates!$E$117</definedName>
    <definedName name="____hnt16" localSheetId="10">[13]Rates!$E$117</definedName>
    <definedName name="____hnt16">[10]Rates!$E$117</definedName>
    <definedName name="____hnt20">[1]Rates!$E$118</definedName>
    <definedName name="____hnt21" localSheetId="10">[13]Rates!$E$118</definedName>
    <definedName name="____hnt21">[10]Rates!$E$118</definedName>
    <definedName name="____hnt25">[1]Rates!$E$119</definedName>
    <definedName name="____hnt30">[6]Rates!$E$117</definedName>
    <definedName name="____hnt40" localSheetId="10">[13]Rates!$E$119</definedName>
    <definedName name="____hnt40">[10]Rates!$E$119</definedName>
    <definedName name="____PV3">[17]Rates!$E$123</definedName>
    <definedName name="___bng200" localSheetId="10">[18]Rates!$E$282</definedName>
    <definedName name="___bng200">[19]Rates!$E$282</definedName>
    <definedName name="___bng250" localSheetId="10">[18]Rates!$E$283</definedName>
    <definedName name="___bng250">[19]Rates!$E$283</definedName>
    <definedName name="___cyt1">[1]Rates!$E$268</definedName>
    <definedName name="___hnt15">[1]Rates!$E$117</definedName>
    <definedName name="___hnt16" localSheetId="10">[13]Rates!$E$117</definedName>
    <definedName name="___hnt16">[10]Rates!$E$117</definedName>
    <definedName name="___hnt20">[1]Rates!$E$118</definedName>
    <definedName name="___hnt21" localSheetId="10">[13]Rates!$E$118</definedName>
    <definedName name="___hnt21">[10]Rates!$E$118</definedName>
    <definedName name="___hnt25">[1]Rates!$E$119</definedName>
    <definedName name="___hnt30" localSheetId="10">[8]Rates!$E$117</definedName>
    <definedName name="___hnt30">[10]Rates!$E$117</definedName>
    <definedName name="___hnt40" localSheetId="10">[13]Rates!$E$119</definedName>
    <definedName name="___hnt40">[10]Rates!$E$119</definedName>
    <definedName name="___PV3">[17]Rates!$E$123</definedName>
    <definedName name="__bn">[15]Rates!$E$283</definedName>
    <definedName name="__bng200" localSheetId="10">[18]Rates!$E$282</definedName>
    <definedName name="__bng200">[19]Rates!$E$282</definedName>
    <definedName name="__bng250" localSheetId="10">[18]Rates!$E$283</definedName>
    <definedName name="__bng250">[19]Rates!$E$283</definedName>
    <definedName name="__cyt1">[1]Rates!$E$268</definedName>
    <definedName name="__hn">[5]Rates!$E$117</definedName>
    <definedName name="__hnt15">[1]Rates!$E$117</definedName>
    <definedName name="__hnt16" localSheetId="10">[13]Rates!$E$117</definedName>
    <definedName name="__hnt16">[10]Rates!$E$117</definedName>
    <definedName name="__hnt20">[1]Rates!$E$118</definedName>
    <definedName name="__hnt21" localSheetId="10">[13]Rates!$E$118</definedName>
    <definedName name="__hnt21">[10]Rates!$E$118</definedName>
    <definedName name="__hnt25">[1]Rates!$E$119</definedName>
    <definedName name="__hnt30" localSheetId="10">[8]Rates!$E$117</definedName>
    <definedName name="__hnt30">[10]Rates!$E$117</definedName>
    <definedName name="__hnt40" localSheetId="10">[13]Rates!$E$119</definedName>
    <definedName name="__hnt40">[10]Rates!$E$119</definedName>
    <definedName name="__PV3">[17]Rates!$E$123</definedName>
    <definedName name="_bbo160">[17]Rates!$E$27</definedName>
    <definedName name="_bbo200">[17]Rates!$E$28</definedName>
    <definedName name="_bgh160">[17]Rates!$E$25</definedName>
    <definedName name="_bng100">[17]Rates!$E$288</definedName>
    <definedName name="_bng150">[17]Rates!$E$289</definedName>
    <definedName name="_bng200" localSheetId="10">[20]Rates!$E$282</definedName>
    <definedName name="_bng200">[19]Rates!$E$282</definedName>
    <definedName name="_bng250" localSheetId="10">[20]Rates!$E$283</definedName>
    <definedName name="_bng250">[19]Rates!$E$283</definedName>
    <definedName name="_cyt1" localSheetId="10">[13]Rates!$E$268</definedName>
    <definedName name="_cyt1">[10]Rates!$E$268</definedName>
    <definedName name="_dwm15">[17]Rates!$E$241</definedName>
    <definedName name="_dwm25">[17]Rates!$E$242</definedName>
    <definedName name="_dwm50">[17]Rates!$E$243</definedName>
    <definedName name="_fgv100">[17]Rates!$E$208</definedName>
    <definedName name="_Fill" localSheetId="10" hidden="1">#REF!</definedName>
    <definedName name="_Fill" localSheetId="0" hidden="1">#REF!</definedName>
    <definedName name="_Fill" hidden="1">#REF!</definedName>
    <definedName name="_fuf3">[17]Rates!$E$138</definedName>
    <definedName name="_gms100">[17]Rates!$E$41</definedName>
    <definedName name="_gms15">[17]Rates!$E$37</definedName>
    <definedName name="_gms25">[17]Rates!$E$38</definedName>
    <definedName name="_gms40">[17]Rates!$E$39</definedName>
    <definedName name="_hnt15" localSheetId="10">[13]Rates!$E$117</definedName>
    <definedName name="_hnt15">[10]Rates!$E$117</definedName>
    <definedName name="_hnt16" localSheetId="10">[13]Rates!$E$117</definedName>
    <definedName name="_hnt16">[10]Rates!$E$117</definedName>
    <definedName name="_hnt20" localSheetId="10">[13]Rates!$E$118</definedName>
    <definedName name="_hnt20">[10]Rates!$E$118</definedName>
    <definedName name="_hnt21" localSheetId="10">[13]Rates!$E$118</definedName>
    <definedName name="_hnt21">[10]Rates!$E$118</definedName>
    <definedName name="_hnt25" localSheetId="10">[13]Rates!$E$119</definedName>
    <definedName name="_hnt25">[10]Rates!$E$119</definedName>
    <definedName name="_hnt30" localSheetId="10">[8]Rates!$E$117</definedName>
    <definedName name="_hnt30">[10]Rates!$E$117</definedName>
    <definedName name="_hnt40" localSheetId="10">[13]Rates!$E$119</definedName>
    <definedName name="_hnt40">[10]Rates!$E$119</definedName>
    <definedName name="_Key1" localSheetId="10" hidden="1">#REF!</definedName>
    <definedName name="_Key1" localSheetId="0" hidden="1">#REF!</definedName>
    <definedName name="_Key1" hidden="1">#REF!</definedName>
    <definedName name="_Key2" localSheetId="10" hidden="1">#REF!</definedName>
    <definedName name="_Key2" localSheetId="0" hidden="1">#REF!</definedName>
    <definedName name="_Key2" hidden="1">#REF!</definedName>
    <definedName name="_Order1" hidden="1">255</definedName>
    <definedName name="_Order2" hidden="1">255</definedName>
    <definedName name="_pcp200">[17]Rates!$E$51</definedName>
    <definedName name="_PV3">[17]Rates!$E$123</definedName>
    <definedName name="_pwm15">[17]Rates!$E$244</definedName>
    <definedName name="_pwm25">[17]Rates!$E$245</definedName>
    <definedName name="_pwm50">[17]Rates!$E$246</definedName>
    <definedName name="_rec2">'[21]IPC-55SUMWORK'!$A$1:$R$37</definedName>
    <definedName name="_sav25">[22]Rates!$E$220</definedName>
    <definedName name="_Sort" localSheetId="10" hidden="1">#REF!</definedName>
    <definedName name="_Sort" localSheetId="0" hidden="1">#REF!</definedName>
    <definedName name="_Sort" hidden="1">#REF!</definedName>
    <definedName name="_tgv100">[17]Rates!$E$220</definedName>
    <definedName name="_tgv25">[17]Rates!$E$218</definedName>
    <definedName name="_tgv40">[17]Rates!$E$219</definedName>
    <definedName name="_wmc1">[17]Rates!$E$189</definedName>
    <definedName name="a" localSheetId="0">#REF!</definedName>
    <definedName name="a">#REF!</definedName>
    <definedName name="AA" localSheetId="0">#REF!</definedName>
    <definedName name="AA">#REF!</definedName>
    <definedName name="abv">[23]Rates!$E$117</definedName>
    <definedName name="ACCENT" localSheetId="0">#REF!</definedName>
    <definedName name="ACCENT">#REF!</definedName>
    <definedName name="ACCENT_NATIVE" localSheetId="0">#REF!</definedName>
    <definedName name="ACCENT_NATIVE">#REF!</definedName>
    <definedName name="ACCENT_NATIVE_AGAVE" localSheetId="0">#REF!</definedName>
    <definedName name="ACCENT_NATIVE_AGAVE">#REF!</definedName>
    <definedName name="ACCENT_NATIVE_BARREL" localSheetId="0">#REF!</definedName>
    <definedName name="ACCENT_NATIVE_BARREL">#REF!</definedName>
    <definedName name="ACCENT_NATIVE_CHOLLA" localSheetId="0">#REF!</definedName>
    <definedName name="ACCENT_NATIVE_CHOLLA">#REF!</definedName>
    <definedName name="ACCENT_NATIVE_OCOTILLO" localSheetId="0">#REF!</definedName>
    <definedName name="ACCENT_NATIVE_OCOTILLO">#REF!</definedName>
    <definedName name="ACCENT_NATIVE_PRICKLY" localSheetId="0">#REF!</definedName>
    <definedName name="ACCENT_NATIVE_PRICKLY">#REF!</definedName>
    <definedName name="ACCENT_STANDARD" localSheetId="0">#REF!</definedName>
    <definedName name="ACCENT_STANDARD">#REF!</definedName>
    <definedName name="ACCENT_STANDARD_15GAL" localSheetId="0">#REF!</definedName>
    <definedName name="ACCENT_STANDARD_15GAL">#REF!</definedName>
    <definedName name="ACCENT_STANDARD_1GAL" localSheetId="0">#REF!</definedName>
    <definedName name="ACCENT_STANDARD_1GAL">#REF!</definedName>
    <definedName name="ACCENT_STANDARD_5GAL" localSheetId="0">#REF!</definedName>
    <definedName name="ACCENT_STANDARD_5GAL">#REF!</definedName>
    <definedName name="add">[17]Rates!$J$6</definedName>
    <definedName name="aksfcksgx">'[24]#REF'!$A$1:$IV$3</definedName>
    <definedName name="asdfx" localSheetId="0">#REF!</definedName>
    <definedName name="asdfx">#REF!</definedName>
    <definedName name="asfd" localSheetId="0">#REF!</definedName>
    <definedName name="asfd">#REF!</definedName>
    <definedName name="asz" localSheetId="0">#REF!</definedName>
    <definedName name="asz">#REF!</definedName>
    <definedName name="avvm">[23]Rates!$E$118</definedName>
    <definedName name="awxeda">'[24]#REF'!$A$1:$IV$3</definedName>
    <definedName name="awzds">'[24]#REF'!$A$1:$IV$3</definedName>
    <definedName name="azs" localSheetId="0">#REF!</definedName>
    <definedName name="azs">#REF!</definedName>
    <definedName name="B" localSheetId="0">#REF!</definedName>
    <definedName name="B">#REF!</definedName>
    <definedName name="BACKFLOW" localSheetId="0">#REF!</definedName>
    <definedName name="BACKFLOW">#REF!</definedName>
    <definedName name="bghg">[15]Rates!$E$282</definedName>
    <definedName name="bill" localSheetId="0">#REF!</definedName>
    <definedName name="bill">#REF!</definedName>
    <definedName name="BuiltIn_Print_Area" localSheetId="0">#REF!</definedName>
    <definedName name="BuiltIn_Print_Area">#REF!</definedName>
    <definedName name="BuiltIn_Print_Titles" localSheetId="0">#REF!</definedName>
    <definedName name="BuiltIn_Print_Titles">#REF!</definedName>
    <definedName name="BuiltIn_Print_Titles___0" localSheetId="0">#REF!</definedName>
    <definedName name="BuiltIn_Print_Titles___0">#REF!</definedName>
    <definedName name="bzp">[22]Rates!$E$312</definedName>
    <definedName name="ccc">[10]Rates!$E$117</definedName>
    <definedName name="chgdcujykc" localSheetId="0">#REF!</definedName>
    <definedName name="chgdcujykc">#REF!</definedName>
    <definedName name="cmass" localSheetId="10">[13]Rates!$E$123</definedName>
    <definedName name="cmass">[10]Rates!$E$123</definedName>
    <definedName name="cock15">[17]Rates!$E$202</definedName>
    <definedName name="cock25">[17]Rates!$E$203</definedName>
    <definedName name="cock50">[17]Rates!$E$204</definedName>
    <definedName name="cpier" localSheetId="10">[13]Rates!$E$126</definedName>
    <definedName name="cpier">[10]Rates!$E$126</definedName>
    <definedName name="cslab">[17]Rates!$E$124</definedName>
    <definedName name="csus">[2]Rates!$E$128</definedName>
    <definedName name="curve" localSheetId="10">[13]Rates!$E$127</definedName>
    <definedName name="curve">[10]Rates!$E$127</definedName>
    <definedName name="cwall">[2]Rates!$E$125</definedName>
    <definedName name="cytz1">[17]Rates!$E$273</definedName>
    <definedName name="d">[25]Rates!$J$9</definedName>
    <definedName name="dc" localSheetId="0">#REF!</definedName>
    <definedName name="dc">#REF!</definedName>
    <definedName name="dd" localSheetId="0">#REF!</definedName>
    <definedName name="dd">#REF!</definedName>
    <definedName name="ddd">[5]Rates!$E$118</definedName>
    <definedName name="DEMOLITION" localSheetId="0">#REF!</definedName>
    <definedName name="DEMOLITION">#REF!</definedName>
    <definedName name="DF" localSheetId="0">#REF!</definedName>
    <definedName name="DF">#REF!</definedName>
    <definedName name="dfb" localSheetId="0">#REF!</definedName>
    <definedName name="dfb">#REF!</definedName>
    <definedName name="dfgh" localSheetId="0">#REF!</definedName>
    <definedName name="dfgh">#REF!</definedName>
    <definedName name="dfgs">[7]Rates!$E$119</definedName>
    <definedName name="dfhcd" localSheetId="0">#REF!</definedName>
    <definedName name="dfhcd">#REF!</definedName>
    <definedName name="dfhn" localSheetId="0">#REF!</definedName>
    <definedName name="dfhn">#REF!</definedName>
    <definedName name="dfhv" localSheetId="0">#REF!</definedName>
    <definedName name="dfhv">#REF!</definedName>
    <definedName name="dfngh" localSheetId="0">#REF!</definedName>
    <definedName name="dfngh">#REF!</definedName>
    <definedName name="dfr">[5]Rates!$E$118</definedName>
    <definedName name="DG_COLOR" localSheetId="0">#REF!</definedName>
    <definedName name="DG_COLOR">#REF!</definedName>
    <definedName name="DG_COLOR_CODE" localSheetId="0">#REF!</definedName>
    <definedName name="DG_COLOR_CODE">#REF!</definedName>
    <definedName name="dhgb" localSheetId="0">#REF!</definedName>
    <definedName name="dhgb">#REF!</definedName>
    <definedName name="Disbursement">'[26]IPC-49SUMWORK'!$A$1:$R$37</definedName>
    <definedName name="djfx">[27]djfx!$A:$IV</definedName>
    <definedName name="drtydrhvdgtr" localSheetId="0">#REF!</definedName>
    <definedName name="drtydrhvdgtr">#REF!</definedName>
    <definedName name="dsdsf">[5]Rates!$E$117</definedName>
    <definedName name="dsfcsgs" localSheetId="0">#REF!</definedName>
    <definedName name="dsfcsgs">#REF!</definedName>
    <definedName name="er">[7]Rates!$E$117</definedName>
    <definedName name="ere">[18]Rates!$E$283</definedName>
    <definedName name="erg" localSheetId="0">#REF!</definedName>
    <definedName name="erg">#REF!</definedName>
    <definedName name="ESTIMATE" localSheetId="0">#REF!</definedName>
    <definedName name="ESTIMATE">#REF!</definedName>
    <definedName name="ewrg" localSheetId="0">#REF!</definedName>
    <definedName name="ewrg">#REF!</definedName>
    <definedName name="ewrgc" localSheetId="0">#REF!</definedName>
    <definedName name="ewrgc">#REF!</definedName>
    <definedName name="f">[23]Rates!$E$117</definedName>
    <definedName name="f150d20">[17]Rates!$E$67</definedName>
    <definedName name="fcbbg" localSheetId="0">#REF!</definedName>
    <definedName name="fcbbg">#REF!</definedName>
    <definedName name="fcdh" localSheetId="0">#REF!</definedName>
    <definedName name="fcdh">#REF!</definedName>
    <definedName name="fcv" localSheetId="0">#REF!</definedName>
    <definedName name="fcv">#REF!</definedName>
    <definedName name="fczt">[17]Rates!$E$264</definedName>
    <definedName name="FD" localSheetId="0" hidden="1">#REF!</definedName>
    <definedName name="FD" hidden="1">#REF!</definedName>
    <definedName name="FDG" localSheetId="0">#REF!</definedName>
    <definedName name="FDG">#REF!</definedName>
    <definedName name="fdgc" localSheetId="0">#REF!</definedName>
    <definedName name="fdgc">#REF!</definedName>
    <definedName name="fgcvnbfg" localSheetId="0">#REF!</definedName>
    <definedName name="fgcvnbfg">#REF!</definedName>
    <definedName name="fggf">[15]Rates!$E$283</definedName>
    <definedName name="fghnb" localSheetId="0">#REF!</definedName>
    <definedName name="fghnb">#REF!</definedName>
    <definedName name="fh" localSheetId="0">#REF!</definedName>
    <definedName name="fh">#REF!</definedName>
    <definedName name="fine1" localSheetId="10">[13]Rates!$E$137</definedName>
    <definedName name="fine1">[10]Rates!$E$137</definedName>
    <definedName name="fine2">[17]Rates!$E$135</definedName>
    <definedName name="fine3" localSheetId="10">[13]Rates!$E$139</definedName>
    <definedName name="fine3">[10]Rates!$E$139</definedName>
    <definedName name="fine4">[17]Rates!$E$137</definedName>
    <definedName name="fire">[17]Rates!$E$317</definedName>
    <definedName name="fjg" localSheetId="0">#REF!</definedName>
    <definedName name="fjg">#REF!</definedName>
    <definedName name="fvgh" localSheetId="0">#REF!</definedName>
    <definedName name="fvgh">#REF!</definedName>
    <definedName name="fvnhb" localSheetId="0">#REF!</definedName>
    <definedName name="fvnhb">#REF!</definedName>
    <definedName name="G" localSheetId="10">[3]Rates!$E$126</definedName>
    <definedName name="G">[4]Rates!$E$126</definedName>
    <definedName name="gbhj" localSheetId="0">#REF!</definedName>
    <definedName name="gbhj">#REF!</definedName>
    <definedName name="GENERAL" localSheetId="0">#REF!</definedName>
    <definedName name="GENERAL">#REF!</definedName>
    <definedName name="gfnn" localSheetId="0">#REF!</definedName>
    <definedName name="gfnn">#REF!</definedName>
    <definedName name="gfvh" localSheetId="0">#REF!</definedName>
    <definedName name="gfvh">#REF!</definedName>
    <definedName name="ggg">[10]Rates!$E$119</definedName>
    <definedName name="gghghg">[15]Rates!$E$282</definedName>
    <definedName name="ghhh">[5]Rates!$E$117</definedName>
    <definedName name="ghkn" localSheetId="0">#REF!</definedName>
    <definedName name="ghkn">#REF!</definedName>
    <definedName name="gjhj">[15]Rates!$E$283</definedName>
    <definedName name="gjin" localSheetId="10">[13]Rates!$E$143</definedName>
    <definedName name="gjin">[10]Rates!$E$143</definedName>
    <definedName name="gjina" localSheetId="10">[13]Rates!$E$143</definedName>
    <definedName name="gjina">[10]Rates!$E$143</definedName>
    <definedName name="gkb" localSheetId="0">#REF!</definedName>
    <definedName name="gkb">#REF!</definedName>
    <definedName name="gkh" localSheetId="0">#REF!</definedName>
    <definedName name="gkh">#REF!</definedName>
    <definedName name="gmsp15">[17]Rates!$E$43</definedName>
    <definedName name="gmsp25">[17]Rates!$E$44</definedName>
    <definedName name="gmsp50">[17]Rates!$E$45</definedName>
    <definedName name="gq">[27]基础数据!$C$59</definedName>
    <definedName name="GROUNDCOVER" localSheetId="0">#REF!</definedName>
    <definedName name="GROUNDCOVER">#REF!</definedName>
    <definedName name="GROUNDCOVER_1GAL" localSheetId="0">#REF!</definedName>
    <definedName name="GROUNDCOVER_1GAL">#REF!</definedName>
    <definedName name="GROUNDCOVER_5GAL" localSheetId="0">#REF!</definedName>
    <definedName name="GROUNDCOVER_5GAL">#REF!</definedName>
    <definedName name="GROUNDCOVER_FLAT" localSheetId="0">#REF!</definedName>
    <definedName name="GROUNDCOVER_FLAT">#REF!</definedName>
    <definedName name="gyukb" localSheetId="0">#REF!</definedName>
    <definedName name="gyukb">#REF!</definedName>
    <definedName name="hgfb" localSheetId="0">#REF!</definedName>
    <definedName name="hgfb">#REF!</definedName>
    <definedName name="hgjmhn" localSheetId="0">#REF!</definedName>
    <definedName name="hgjmhn">#REF!</definedName>
    <definedName name="hh">'[24]#REF'!$A$1:$F$497</definedName>
    <definedName name="hhyuj" localSheetId="0">#REF!</definedName>
    <definedName name="hhyuj">#REF!</definedName>
    <definedName name="hiljk" localSheetId="0">#REF!</definedName>
    <definedName name="hiljk">#REF!</definedName>
    <definedName name="hjmn" localSheetId="0">#REF!</definedName>
    <definedName name="hjmn">#REF!</definedName>
    <definedName name="hl">[28]基础数据!$C$6</definedName>
    <definedName name="hnt">[23]Rates!$E$118</definedName>
    <definedName name="hxs" localSheetId="10">[13]Rates!$L$12</definedName>
    <definedName name="hxs">[10]Rates!$L$12</definedName>
    <definedName name="hxsa" localSheetId="10">[13]Rates!$L$12</definedName>
    <definedName name="hxsa">[10]Rates!$L$12</definedName>
    <definedName name="hyt" localSheetId="0">#REF!</definedName>
    <definedName name="hyt">#REF!</definedName>
    <definedName name="hytg" localSheetId="0">#REF!</definedName>
    <definedName name="hytg">#REF!</definedName>
    <definedName name="i" localSheetId="0">#REF!</definedName>
    <definedName name="i">#REF!</definedName>
    <definedName name="insp1">[2]Rates!$E$185</definedName>
    <definedName name="insp2">[2]Rates!$E$186</definedName>
    <definedName name="insp3">[2]Rates!$E$187</definedName>
    <definedName name="IRRIGATION" localSheetId="0">#REF!</definedName>
    <definedName name="IRRIGATION">#REF!</definedName>
    <definedName name="item">[29]Rates!$E$268</definedName>
    <definedName name="ITEM_DEMOLITION" localSheetId="0">#REF!</definedName>
    <definedName name="ITEM_DEMOLITION">#REF!</definedName>
    <definedName name="ITEM_FENCING" localSheetId="0">#REF!</definedName>
    <definedName name="ITEM_FENCING">#REF!</definedName>
    <definedName name="ITEM_FURNISH" localSheetId="0">#REF!</definedName>
    <definedName name="ITEM_FURNISH">#REF!</definedName>
    <definedName name="ITEM_GRADING" localSheetId="0">#REF!</definedName>
    <definedName name="ITEM_GRADING">#REF!</definedName>
    <definedName name="ITEM_HARDSCAPE" localSheetId="0">#REF!</definedName>
    <definedName name="ITEM_HARDSCAPE">#REF!</definedName>
    <definedName name="ITEM_IRRIGATION" localSheetId="0">#REF!</definedName>
    <definedName name="ITEM_IRRIGATION">#REF!</definedName>
    <definedName name="ITEM_LANDSCAPE" localSheetId="0">#REF!</definedName>
    <definedName name="ITEM_LANDSCAPE">#REF!</definedName>
    <definedName name="ITEM_NO" localSheetId="0">#REF!</definedName>
    <definedName name="ITEM_NO">#REF!</definedName>
    <definedName name="ITEM_PROJECT" localSheetId="0">#REF!</definedName>
    <definedName name="ITEM_PROJECT">#REF!</definedName>
    <definedName name="ITEM_WALLS" localSheetId="0">#REF!</definedName>
    <definedName name="ITEM_WALLS">#REF!</definedName>
    <definedName name="jhpd">[17]Rates!$E$269</definedName>
    <definedName name="jj" localSheetId="0">#REF!</definedName>
    <definedName name="jj">#REF!</definedName>
    <definedName name="JJF">'[28]4标价组成表'!$C$43</definedName>
    <definedName name="jkkk">[5]Rates!$E$117</definedName>
    <definedName name="kmn">[23]Rates!$E$119</definedName>
    <definedName name="LANDSCAPE" localSheetId="0">#REF!</definedName>
    <definedName name="LANDSCAPE">#REF!</definedName>
    <definedName name="LANDSCAPE_CONTINGENCY" localSheetId="0">#REF!</definedName>
    <definedName name="LANDSCAPE_CONTINGENCY">#REF!</definedName>
    <definedName name="LANDSCAPE_CONTINGENCY_VALUE" localSheetId="0">#REF!</definedName>
    <definedName name="LANDSCAPE_CONTINGENCY_VALUE">#REF!</definedName>
    <definedName name="LANDSCAPE_INCIDENTALS" localSheetId="0">#REF!</definedName>
    <definedName name="LANDSCAPE_INCIDENTALS">#REF!</definedName>
    <definedName name="m" localSheetId="0">#REF!</definedName>
    <definedName name="m">#REF!</definedName>
    <definedName name="mesh142" localSheetId="10">[13]Rates!$E$144</definedName>
    <definedName name="mesh142">[10]Rates!$E$144</definedName>
    <definedName name="mesh150" localSheetId="10">[13]Rates!$E$144</definedName>
    <definedName name="mesh150">[10]Rates!$E$144</definedName>
    <definedName name="mkhl">[17]Rates!$J$1</definedName>
    <definedName name="mkhl1">[30]Rates!$J$1</definedName>
    <definedName name="mlhl">[27]基础数据!$C$6</definedName>
    <definedName name="N">[31]Rates!$E$126</definedName>
    <definedName name="nhb" localSheetId="0">#REF!</definedName>
    <definedName name="nhb">#REF!</definedName>
    <definedName name="nmm">[23]Rates!$E$118</definedName>
    <definedName name="Nyamira">[31]Rates!$E$118</definedName>
    <definedName name="oko">[17]Rates!$J$11</definedName>
    <definedName name="pcp">[17]Rates!$E$259</definedName>
    <definedName name="prc">[2]Rates!$E$129</definedName>
    <definedName name="_xlnm.Print_Area" localSheetId="3">'Bill No. 1 - P &amp; G'!$B$1:$G$208</definedName>
    <definedName name="_xlnm.Print_Area" localSheetId="4">'Bill No. 2 - Rising Main'!$A$1:$F$365</definedName>
    <definedName name="_xlnm.Print_Area" localSheetId="9">'BILL NO. 3 - RAW WATER'!$A$1:$F$323</definedName>
    <definedName name="_xlnm.Print_Area" localSheetId="10">'Bill No. 3 - Reservoir'!$A$1:$G$733</definedName>
    <definedName name="_xlnm.Print_Area" localSheetId="11">'Bill No. 4 - Pump Station'!$A$1:$F$148</definedName>
    <definedName name="_xlnm.Print_Area" localSheetId="12">'Bill No. 5 - Dayworks'!$A$1:$F$213</definedName>
    <definedName name="_xlnm.Print_Area" localSheetId="5">'BILL NO. 5 RISING MAIN'!$A$1:$F$342</definedName>
    <definedName name="_xlnm.Print_Area" localSheetId="6">'BILL NO. 7 - TRANSMISSION MAIN '!$A$1:$F$347</definedName>
    <definedName name="_xlnm.Print_Area" localSheetId="8">'BILL NO. 8 - DISTRIBUTION LINES'!$A$1:$F$415</definedName>
    <definedName name="_xlnm.Print_Area" localSheetId="7">'BILL NO. 9 -CONSUMER CONNECTION'!$A$1:$F$158</definedName>
    <definedName name="_xlnm.Print_Area" localSheetId="0">'Cover Page '!$A$1:$C$50</definedName>
    <definedName name="_xlnm.Print_Area" localSheetId="2">Summary!$A$1:$D$41</definedName>
    <definedName name="_xlnm.Print_Area">#REF!</definedName>
    <definedName name="_xlnm.Print_Titles" localSheetId="4">'Bill No. 2 - Rising Main'!$1:$4</definedName>
    <definedName name="_xlnm.Print_Titles" localSheetId="10">'Bill No. 3 - Reservoir'!$1:$6</definedName>
    <definedName name="PROJECT_CONTINGENCY" localSheetId="0">#REF!</definedName>
    <definedName name="PROJECT_CONTINGENCY">#REF!</definedName>
    <definedName name="Project_Name" localSheetId="0">#REF!</definedName>
    <definedName name="Project_Name">#REF!</definedName>
    <definedName name="Project_Number" localSheetId="0">#REF!</definedName>
    <definedName name="Project_Number">#REF!</definedName>
    <definedName name="Project_Phase" localSheetId="0">#REF!</definedName>
    <definedName name="Project_Phase">#REF!</definedName>
    <definedName name="PROJECT_SUBTOTAL" localSheetId="0">#REF!</definedName>
    <definedName name="PROJECT_SUBTOTAL">#REF!</definedName>
    <definedName name="PROJECT_TOTAL" localSheetId="0">#REF!</definedName>
    <definedName name="PROJECT_TOTAL">#REF!</definedName>
    <definedName name="PV">[17]Rates!$E$126</definedName>
    <definedName name="Reser">[32]Rates!$E$283</definedName>
    <definedName name="rgqb" localSheetId="10">[13]Rates!$E$253</definedName>
    <definedName name="rgqb">[10]Rates!$E$253</definedName>
    <definedName name="rgqb1" localSheetId="10">[13]Rates!$E$253</definedName>
    <definedName name="rgqb1">[10]Rates!$E$253</definedName>
    <definedName name="rgwc" localSheetId="10">[13]Rates!$E$256</definedName>
    <definedName name="rgwc">[10]Rates!$E$256</definedName>
    <definedName name="rgwcc" localSheetId="10">[13]Rates!$E$256</definedName>
    <definedName name="rgwcc">[10]Rates!$E$256</definedName>
    <definedName name="rgwt">[17]Rates!$E$261</definedName>
    <definedName name="rh" localSheetId="0">#REF!</definedName>
    <definedName name="rh">#REF!</definedName>
    <definedName name="rocka">[17]Rates!$E$112</definedName>
    <definedName name="rockb">[17]Rates!$E$113</definedName>
    <definedName name="rockc">[17]Rates!$E$114</definedName>
    <definedName name="rough">[17]Rates!$E$133</definedName>
    <definedName name="rt" localSheetId="0">#REF!</definedName>
    <definedName name="rt">#REF!</definedName>
    <definedName name="rth" localSheetId="0">#REF!</definedName>
    <definedName name="rth">#REF!</definedName>
    <definedName name="rthg" localSheetId="0">#REF!</definedName>
    <definedName name="rthg">#REF!</definedName>
    <definedName name="rtr" localSheetId="0">#REF!</definedName>
    <definedName name="rtr">#REF!</definedName>
    <definedName name="safx" localSheetId="0">#REF!</definedName>
    <definedName name="safx">#REF!</definedName>
    <definedName name="saxd">'[24]#REF'!$A$1:$F$497</definedName>
    <definedName name="scf" localSheetId="0">#REF!</definedName>
    <definedName name="scf">#REF!</definedName>
    <definedName name="sdc" localSheetId="0">#REF!</definedName>
    <definedName name="sdc">#REF!</definedName>
    <definedName name="sdd">[15]Rates!$E$283</definedName>
    <definedName name="sddd">[5]Rates!$E$117</definedName>
    <definedName name="sdf" localSheetId="0">#REF!</definedName>
    <definedName name="sdf">#REF!</definedName>
    <definedName name="sergcb" localSheetId="0">#REF!</definedName>
    <definedName name="sergcb">#REF!</definedName>
    <definedName name="SHARED_FORMULA_0">#N/A</definedName>
    <definedName name="SHARED_FORMULA_1">#N/A</definedName>
    <definedName name="SHARED_FORMULA_10">#N/A</definedName>
    <definedName name="SHARED_FORMULA_100">#N/A</definedName>
    <definedName name="SHARED_FORMULA_101">#N/A</definedName>
    <definedName name="SHARED_FORMULA_102">#N/A</definedName>
    <definedName name="SHARED_FORMULA_103">#N/A</definedName>
    <definedName name="SHARED_FORMULA_104">#N/A</definedName>
    <definedName name="SHARED_FORMULA_105">#N/A</definedName>
    <definedName name="SHARED_FORMULA_106">#N/A</definedName>
    <definedName name="SHARED_FORMULA_107">#N/A</definedName>
    <definedName name="SHARED_FORMULA_108">#N/A</definedName>
    <definedName name="SHARED_FORMULA_109">#N/A</definedName>
    <definedName name="SHARED_FORMULA_11">#N/A</definedName>
    <definedName name="SHARED_FORMULA_110">#N/A</definedName>
    <definedName name="SHARED_FORMULA_111">#N/A</definedName>
    <definedName name="SHARED_FORMULA_112">#N/A</definedName>
    <definedName name="SHARED_FORMULA_113">#N/A</definedName>
    <definedName name="SHARED_FORMULA_114">#N/A</definedName>
    <definedName name="SHARED_FORMULA_115">#N/A</definedName>
    <definedName name="SHARED_FORMULA_116">#N/A</definedName>
    <definedName name="SHARED_FORMULA_117">#N/A</definedName>
    <definedName name="SHARED_FORMULA_118">#N/A</definedName>
    <definedName name="SHARED_FORMULA_119">#N/A</definedName>
    <definedName name="SHARED_FORMULA_12">#N/A</definedName>
    <definedName name="SHARED_FORMULA_120">#N/A</definedName>
    <definedName name="SHARED_FORMULA_121">#N/A</definedName>
    <definedName name="SHARED_FORMULA_122">#N/A</definedName>
    <definedName name="SHARED_FORMULA_123">#N/A</definedName>
    <definedName name="SHARED_FORMULA_124">#N/A</definedName>
    <definedName name="SHARED_FORMULA_125">#N/A</definedName>
    <definedName name="SHARED_FORMULA_126">#N/A</definedName>
    <definedName name="SHARED_FORMULA_127">#N/A</definedName>
    <definedName name="SHARED_FORMULA_128">#N/A</definedName>
    <definedName name="SHARED_FORMULA_129">#N/A</definedName>
    <definedName name="SHARED_FORMULA_13">#N/A</definedName>
    <definedName name="SHARED_FORMULA_130">#N/A</definedName>
    <definedName name="SHARED_FORMULA_131">#N/A</definedName>
    <definedName name="SHARED_FORMULA_132">#N/A</definedName>
    <definedName name="SHARED_FORMULA_133">#N/A</definedName>
    <definedName name="SHARED_FORMULA_134">#N/A</definedName>
    <definedName name="SHARED_FORMULA_135">#N/A</definedName>
    <definedName name="SHARED_FORMULA_136">#N/A</definedName>
    <definedName name="SHARED_FORMULA_137">#N/A</definedName>
    <definedName name="SHARED_FORMULA_138">#N/A</definedName>
    <definedName name="SHARED_FORMULA_139">#N/A</definedName>
    <definedName name="SHARED_FORMULA_14">#N/A</definedName>
    <definedName name="SHARED_FORMULA_140">#N/A</definedName>
    <definedName name="SHARED_FORMULA_141">#N/A</definedName>
    <definedName name="SHARED_FORMULA_142">#N/A</definedName>
    <definedName name="SHARED_FORMULA_143">#N/A</definedName>
    <definedName name="SHARED_FORMULA_144">#N/A</definedName>
    <definedName name="SHARED_FORMULA_145">#N/A</definedName>
    <definedName name="SHARED_FORMULA_146">#N/A</definedName>
    <definedName name="SHARED_FORMULA_147">#N/A</definedName>
    <definedName name="SHARED_FORMULA_148">#N/A</definedName>
    <definedName name="SHARED_FORMULA_149">#N/A</definedName>
    <definedName name="SHARED_FORMULA_15">#N/A</definedName>
    <definedName name="SHARED_FORMULA_150">#N/A</definedName>
    <definedName name="SHARED_FORMULA_151">#N/A</definedName>
    <definedName name="SHARED_FORMULA_152">#N/A</definedName>
    <definedName name="SHARED_FORMULA_153">#N/A</definedName>
    <definedName name="SHARED_FORMULA_154">#N/A</definedName>
    <definedName name="SHARED_FORMULA_155">#N/A</definedName>
    <definedName name="SHARED_FORMULA_156">#N/A</definedName>
    <definedName name="SHARED_FORMULA_157">#N/A</definedName>
    <definedName name="SHARED_FORMULA_158">#N/A</definedName>
    <definedName name="SHARED_FORMULA_159">#N/A</definedName>
    <definedName name="SHARED_FORMULA_16">#N/A</definedName>
    <definedName name="SHARED_FORMULA_160">#N/A</definedName>
    <definedName name="SHARED_FORMULA_161">#N/A</definedName>
    <definedName name="SHARED_FORMULA_162">#N/A</definedName>
    <definedName name="SHARED_FORMULA_163">#N/A</definedName>
    <definedName name="SHARED_FORMULA_164">#N/A</definedName>
    <definedName name="SHARED_FORMULA_165">#N/A</definedName>
    <definedName name="SHARED_FORMULA_166">#N/A</definedName>
    <definedName name="SHARED_FORMULA_167">#N/A</definedName>
    <definedName name="SHARED_FORMULA_168">#N/A</definedName>
    <definedName name="SHARED_FORMULA_169">#N/A</definedName>
    <definedName name="SHARED_FORMULA_17">#N/A</definedName>
    <definedName name="SHARED_FORMULA_170">#N/A</definedName>
    <definedName name="SHARED_FORMULA_171">#N/A</definedName>
    <definedName name="SHARED_FORMULA_172">#N/A</definedName>
    <definedName name="SHARED_FORMULA_173">#N/A</definedName>
    <definedName name="SHARED_FORMULA_174">#N/A</definedName>
    <definedName name="SHARED_FORMULA_175">#N/A</definedName>
    <definedName name="SHARED_FORMULA_176">#N/A</definedName>
    <definedName name="SHARED_FORMULA_177">#N/A</definedName>
    <definedName name="SHARED_FORMULA_178">#N/A</definedName>
    <definedName name="SHARED_FORMULA_179">#N/A</definedName>
    <definedName name="SHARED_FORMULA_18">#N/A</definedName>
    <definedName name="SHARED_FORMULA_180">#N/A</definedName>
    <definedName name="SHARED_FORMULA_181">#N/A</definedName>
    <definedName name="SHARED_FORMULA_182">#N/A</definedName>
    <definedName name="SHARED_FORMULA_183">#N/A</definedName>
    <definedName name="SHARED_FORMULA_184">#N/A</definedName>
    <definedName name="SHARED_FORMULA_185">#N/A</definedName>
    <definedName name="SHARED_FORMULA_186">#N/A</definedName>
    <definedName name="SHARED_FORMULA_187">#N/A</definedName>
    <definedName name="SHARED_FORMULA_188">#N/A</definedName>
    <definedName name="SHARED_FORMULA_189">#N/A</definedName>
    <definedName name="SHARED_FORMULA_19">#N/A</definedName>
    <definedName name="SHARED_FORMULA_190">#N/A</definedName>
    <definedName name="SHARED_FORMULA_191">#N/A</definedName>
    <definedName name="SHARED_FORMULA_192">#N/A</definedName>
    <definedName name="SHARED_FORMULA_193">#N/A</definedName>
    <definedName name="SHARED_FORMULA_194">#N/A</definedName>
    <definedName name="SHARED_FORMULA_195">#N/A</definedName>
    <definedName name="SHARED_FORMULA_196">#N/A</definedName>
    <definedName name="SHARED_FORMULA_197">#N/A</definedName>
    <definedName name="SHARED_FORMULA_198">#N/A</definedName>
    <definedName name="SHARED_FORMULA_199">#N/A</definedName>
    <definedName name="SHARED_FORMULA_2">#N/A</definedName>
    <definedName name="SHARED_FORMULA_20">#N/A</definedName>
    <definedName name="SHARED_FORMULA_200">#N/A</definedName>
    <definedName name="SHARED_FORMULA_201">#N/A</definedName>
    <definedName name="SHARED_FORMULA_202">#N/A</definedName>
    <definedName name="SHARED_FORMULA_203">#N/A</definedName>
    <definedName name="SHARED_FORMULA_204">#N/A</definedName>
    <definedName name="SHARED_FORMULA_205">#N/A</definedName>
    <definedName name="SHARED_FORMULA_206">#N/A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81">#N/A</definedName>
    <definedName name="SHARED_FORMULA_82">#N/A</definedName>
    <definedName name="SHARED_FORMULA_83">#N/A</definedName>
    <definedName name="SHARED_FORMULA_84">#N/A</definedName>
    <definedName name="SHARED_FORMULA_85">#N/A</definedName>
    <definedName name="SHARED_FORMULA_86">#N/A</definedName>
    <definedName name="SHARED_FORMULA_87">#N/A</definedName>
    <definedName name="SHARED_FORMULA_88">#N/A</definedName>
    <definedName name="SHARED_FORMULA_89">#N/A</definedName>
    <definedName name="SHARED_FORMULA_9">#N/A</definedName>
    <definedName name="SHARED_FORMULA_90">#N/A</definedName>
    <definedName name="SHARED_FORMULA_91">#N/A</definedName>
    <definedName name="SHARED_FORMULA_92">#N/A</definedName>
    <definedName name="SHARED_FORMULA_93">#N/A</definedName>
    <definedName name="SHARED_FORMULA_94">#N/A</definedName>
    <definedName name="SHARED_FORMULA_95">#N/A</definedName>
    <definedName name="SHARED_FORMULA_96">#N/A</definedName>
    <definedName name="SHARED_FORMULA_97">#N/A</definedName>
    <definedName name="SHARED_FORMULA_98">#N/A</definedName>
    <definedName name="SHARED_FORMULA_99">#N/A</definedName>
    <definedName name="SHRUB" localSheetId="0">#REF!</definedName>
    <definedName name="SHRUB">#REF!</definedName>
    <definedName name="SHRUB_15GAL" localSheetId="0">#REF!</definedName>
    <definedName name="SHRUB_15GAL">#REF!</definedName>
    <definedName name="SHRUB_1GAL" localSheetId="0">#REF!</definedName>
    <definedName name="SHRUB_1GAL">#REF!</definedName>
    <definedName name="SHRUB_5GAL" localSheetId="0">#REF!</definedName>
    <definedName name="SHRUB_5GAL">#REF!</definedName>
    <definedName name="sluv100">[17]Rates!$E$233</definedName>
    <definedName name="sluv150">[17]Rates!$E$234</definedName>
    <definedName name="SOIL" localSheetId="0">#REF!</definedName>
    <definedName name="SOIL">#REF!</definedName>
    <definedName name="SOIL_FILL" localSheetId="0">#REF!</definedName>
    <definedName name="SOIL_FILL">#REF!</definedName>
    <definedName name="SOIL_PREPARED" localSheetId="0">#REF!</definedName>
    <definedName name="SOIL_PREPARED">#REF!</definedName>
    <definedName name="ss">[10]Rates!$E$117</definedName>
    <definedName name="SUBDEMOLITION" localSheetId="0">#REF!</definedName>
    <definedName name="SUBDEMOLITION">#REF!</definedName>
    <definedName name="SUBFENCING" localSheetId="0">#REF!</definedName>
    <definedName name="SUBFENCING">#REF!</definedName>
    <definedName name="SUBGRADING" localSheetId="0">#REF!</definedName>
    <definedName name="SUBGRADING">#REF!</definedName>
    <definedName name="SUBHARDSCAPE" localSheetId="0">#REF!</definedName>
    <definedName name="SUBHARDSCAPE">#REF!</definedName>
    <definedName name="SUBIRRIGATION" localSheetId="0">#REF!</definedName>
    <definedName name="SUBIRRIGATION">#REF!</definedName>
    <definedName name="SUBLANDSCAPE" localSheetId="0">#REF!</definedName>
    <definedName name="SUBLANDSCAPE">#REF!</definedName>
    <definedName name="SUBPLANTING" localSheetId="0">#REF!</definedName>
    <definedName name="SUBPLANTING">#REF!</definedName>
    <definedName name="t" localSheetId="0">#REF!</definedName>
    <definedName name="t">#REF!</definedName>
    <definedName name="tgms">[17]Rates!$E$107</definedName>
    <definedName name="tr">[8]Rates!$E$117</definedName>
    <definedName name="trans">[17]Rates!$E$121</definedName>
    <definedName name="TREE" localSheetId="0">#REF!</definedName>
    <definedName name="TREE">#REF!</definedName>
    <definedName name="TREE_SPECIMEN" localSheetId="0">#REF!</definedName>
    <definedName name="TREE_SPECIMEN">#REF!</definedName>
    <definedName name="TREE_SPECIMEN_36BOX" localSheetId="0">#REF!</definedName>
    <definedName name="TREE_SPECIMEN_36BOX">#REF!</definedName>
    <definedName name="TREE_SPECIMEN_48BOX" localSheetId="0">#REF!</definedName>
    <definedName name="TREE_SPECIMEN_48BOX">#REF!</definedName>
    <definedName name="TREE_STANDARD" localSheetId="0">#REF!</definedName>
    <definedName name="TREE_STANDARD">#REF!</definedName>
    <definedName name="TREE_STANDARD_15GAL" localSheetId="0">#REF!</definedName>
    <definedName name="TREE_STANDARD_15GAL">#REF!</definedName>
    <definedName name="TREE_STANDARD_24BOX" localSheetId="0">#REF!</definedName>
    <definedName name="TREE_STANDARD_24BOX">#REF!</definedName>
    <definedName name="TREE_STANDARD_30BOX" localSheetId="0">#REF!</definedName>
    <definedName name="TREE_STANDARD_30BOX">#REF!</definedName>
    <definedName name="TREE_STANDARD_36BOX" localSheetId="0">#REF!</definedName>
    <definedName name="TREE_STANDARD_36BOX">#REF!</definedName>
    <definedName name="TREE_STANDARD_48BOX" localSheetId="0">#REF!</definedName>
    <definedName name="TREE_STANDARD_48BOX">#REF!</definedName>
    <definedName name="TREE_STANDARD_5GAL" localSheetId="0">#REF!</definedName>
    <definedName name="TREE_STANDARD_5GAL">#REF!</definedName>
    <definedName name="TREE_TRANSPLANT" localSheetId="0">#REF!</definedName>
    <definedName name="TREE_TRANSPLANT">#REF!</definedName>
    <definedName name="TREE_TRANSPLANT_36BOX" localSheetId="0">#REF!</definedName>
    <definedName name="TREE_TRANSPLANT_36BOX">#REF!</definedName>
    <definedName name="TREE_TRANSPLANT_48BOX" localSheetId="0">#REF!</definedName>
    <definedName name="TREE_TRANSPLANT_48BOX">#REF!</definedName>
    <definedName name="TREE_TRANSPLANT_60SPADE" localSheetId="0">#REF!</definedName>
    <definedName name="TREE_TRANSPLANT_60SPADE">#REF!</definedName>
    <definedName name="TREE_TRANSPLANT_PALM" localSheetId="0">#REF!</definedName>
    <definedName name="TREE_TRANSPLANT_PALM">#REF!</definedName>
    <definedName name="tree1">[17]Rates!$E$5</definedName>
    <definedName name="tree2">[17]Rates!$E$6</definedName>
    <definedName name="tree3">[17]Rates!$E$7</definedName>
    <definedName name="TURFGRASS" localSheetId="0">#REF!</definedName>
    <definedName name="TURFGRASS">#REF!</definedName>
    <definedName name="TURFGRASS_SEED" localSheetId="0">#REF!</definedName>
    <definedName name="TURFGRASS_SEED">#REF!</definedName>
    <definedName name="TURFGRASS_SEED_BROADCAST" localSheetId="0">#REF!</definedName>
    <definedName name="TURFGRASS_SEED_BROADCAST">#REF!</definedName>
    <definedName name="TURFGRASS_SEED_HYDROMULCH" localSheetId="0">#REF!</definedName>
    <definedName name="TURFGRASS_SEED_HYDROMULCH">#REF!</definedName>
    <definedName name="TURFGRASS_SOD" localSheetId="0">#REF!</definedName>
    <definedName name="TURFGRASS_SOD">#REF!</definedName>
    <definedName name="TURFGRASS_SPRIG" localSheetId="0">#REF!</definedName>
    <definedName name="TURFGRASS_SPRIG">#REF!</definedName>
    <definedName name="txfl">[27]摊销费!$F$94</definedName>
    <definedName name="tykh" localSheetId="0">#REF!</definedName>
    <definedName name="tykh">#REF!</definedName>
    <definedName name="tzxs">[17]Rates!$J$8</definedName>
    <definedName name="u" localSheetId="0">#REF!</definedName>
    <definedName name="u">#REF!</definedName>
    <definedName name="uijy" localSheetId="0">#REF!</definedName>
    <definedName name="uijy">#REF!</definedName>
    <definedName name="uik" localSheetId="0">#REF!</definedName>
    <definedName name="uik">#REF!</definedName>
    <definedName name="ujh" localSheetId="0">#REF!</definedName>
    <definedName name="ujh">#REF!</definedName>
    <definedName name="ujyuj" localSheetId="0">#REF!</definedName>
    <definedName name="ujyuj">#REF!</definedName>
    <definedName name="v12c15">[17]Rates!$E$176</definedName>
    <definedName name="vdh" localSheetId="0">#REF!</definedName>
    <definedName name="vdh">#REF!</definedName>
    <definedName name="vth" localSheetId="0">#REF!</definedName>
    <definedName name="vth">#REF!</definedName>
    <definedName name="vv" localSheetId="0">#REF!</definedName>
    <definedName name="vv">#REF!</definedName>
    <definedName name="wda">'[24]#REF'!$A$1:$IV$3</definedName>
    <definedName name="WIRECAGE" localSheetId="0">#REF!</definedName>
    <definedName name="WIRECAGE">#REF!</definedName>
    <definedName name="WIRECAGE_GROUNDCOVERS" localSheetId="0">#REF!</definedName>
    <definedName name="WIRECAGE_GROUNDCOVERS">#REF!</definedName>
    <definedName name="WIRECAGE_SHRUBS" localSheetId="0">#REF!</definedName>
    <definedName name="WIRECAGE_SHRUBS">#REF!</definedName>
    <definedName name="WIRECAGE_TREES" localSheetId="0">#REF!</definedName>
    <definedName name="WIRECAGE_TREES">#REF!</definedName>
    <definedName name="wo12d16">[17]Rates!$E$147</definedName>
    <definedName name="wo16d15">[17]Rates!$E$157</definedName>
    <definedName name="wzsz">[2]Rates!$E$265</definedName>
    <definedName name="xdar">'[24]#REF'!$A$1:$IV$3</definedName>
    <definedName name="xdfb" localSheetId="0">#REF!</definedName>
    <definedName name="xdfb">#REF!</definedName>
    <definedName name="xvf" localSheetId="0">#REF!</definedName>
    <definedName name="xvf">#REF!</definedName>
    <definedName name="xxx">[33]Rates!$E$268</definedName>
    <definedName name="ygj1">[17]Rates!$E$314</definedName>
    <definedName name="yh" localSheetId="0">#REF!</definedName>
    <definedName name="yh">#REF!</definedName>
    <definedName name="yhg" localSheetId="0">#REF!</definedName>
    <definedName name="yhg">#REF!</definedName>
    <definedName name="yhnt">[17]Rates!$E$120</definedName>
    <definedName name="yht" localSheetId="0">#REF!</definedName>
    <definedName name="yht">#REF!</definedName>
    <definedName name="zgjf100">[17]Rates!$E$301</definedName>
    <definedName name="zgjf150">[17]Rates!$E$302</definedName>
    <definedName name="zgjf80">[22]Rates!$E$291</definedName>
    <definedName name="zhfl">[17]Rates!$J$5</definedName>
    <definedName name="zsxd">'[24]#REF'!$A$1:$F$497</definedName>
  </definedNames>
  <calcPr calcId="162913"/>
</workbook>
</file>

<file path=xl/calcChain.xml><?xml version="1.0" encoding="utf-8"?>
<calcChain xmlns="http://schemas.openxmlformats.org/spreadsheetml/2006/main">
  <c r="D17" i="87" l="1"/>
  <c r="F94" i="110" l="1"/>
  <c r="F87" i="110"/>
  <c r="F86" i="110"/>
  <c r="F85" i="110"/>
  <c r="F84" i="110"/>
  <c r="F83" i="110"/>
  <c r="F82" i="110"/>
  <c r="F81" i="110"/>
  <c r="F79" i="110"/>
  <c r="F77" i="110"/>
  <c r="F76" i="110"/>
  <c r="F74" i="110"/>
  <c r="F73" i="110"/>
  <c r="F72" i="110"/>
  <c r="F71" i="110"/>
  <c r="F70" i="110"/>
  <c r="F67" i="110"/>
  <c r="F45" i="110"/>
  <c r="F43" i="110"/>
  <c r="F41" i="110"/>
  <c r="F38" i="110"/>
  <c r="F32" i="110"/>
  <c r="F30" i="110"/>
  <c r="F24" i="110"/>
  <c r="F18" i="110"/>
  <c r="F14" i="110"/>
  <c r="G156" i="89" l="1"/>
  <c r="E78" i="89" l="1"/>
  <c r="G140" i="89" l="1"/>
  <c r="G16" i="89"/>
  <c r="G14" i="89"/>
  <c r="G12" i="89"/>
  <c r="D43" i="97"/>
  <c r="D36" i="97"/>
  <c r="G105" i="89"/>
  <c r="G103" i="89"/>
  <c r="E107" i="89" s="1"/>
  <c r="E35" i="89"/>
  <c r="G138" i="89"/>
  <c r="G136" i="89"/>
  <c r="G134" i="89"/>
  <c r="G132" i="89"/>
  <c r="G130" i="89"/>
  <c r="G128" i="89"/>
  <c r="G91" i="89"/>
  <c r="E142" i="89" l="1"/>
  <c r="F12" i="97"/>
  <c r="D75" i="97"/>
  <c r="F75" i="97" s="1"/>
  <c r="G27" i="89" l="1"/>
  <c r="E29" i="89" s="1"/>
  <c r="G29" i="89" s="1"/>
  <c r="G33" i="89"/>
  <c r="G34" i="89"/>
  <c r="G35" i="89"/>
  <c r="G37" i="89"/>
  <c r="G47" i="89"/>
  <c r="G48" i="89"/>
  <c r="G49" i="89"/>
  <c r="G51" i="89"/>
  <c r="E53" i="89" s="1"/>
  <c r="G61" i="89"/>
  <c r="E63" i="89" s="1"/>
  <c r="G63" i="89" s="1"/>
  <c r="G65" i="89"/>
  <c r="E93" i="89"/>
  <c r="G93" i="89" s="1"/>
  <c r="G97" i="89"/>
  <c r="G107" i="89"/>
  <c r="G142" i="89"/>
  <c r="F287" i="97"/>
  <c r="F288" i="97"/>
  <c r="F286" i="97"/>
  <c r="F171" i="97"/>
  <c r="F172" i="97"/>
  <c r="F173" i="97"/>
  <c r="F161" i="97"/>
  <c r="F162" i="97"/>
  <c r="F163" i="97"/>
  <c r="F164" i="97"/>
  <c r="F165" i="97"/>
  <c r="F166" i="97"/>
  <c r="F167" i="97"/>
  <c r="F168" i="97"/>
  <c r="F169" i="97"/>
  <c r="F170" i="97"/>
  <c r="F155" i="97"/>
  <c r="F156" i="97"/>
  <c r="F157" i="97"/>
  <c r="F158" i="97"/>
  <c r="F159" i="97"/>
  <c r="F160" i="97"/>
  <c r="F154" i="97"/>
  <c r="F122" i="97"/>
  <c r="F123" i="97"/>
  <c r="F124" i="97"/>
  <c r="F125" i="97"/>
  <c r="F126" i="97"/>
  <c r="F128" i="97"/>
  <c r="F129" i="97"/>
  <c r="F130" i="97"/>
  <c r="F131" i="97"/>
  <c r="F132" i="97"/>
  <c r="F133" i="97"/>
  <c r="F134" i="97"/>
  <c r="F135" i="97"/>
  <c r="F284" i="97"/>
  <c r="F121" i="97"/>
  <c r="F110" i="97"/>
  <c r="F111" i="97"/>
  <c r="F112" i="97"/>
  <c r="F113" i="97"/>
  <c r="F114" i="97"/>
  <c r="F115" i="97"/>
  <c r="F116" i="97"/>
  <c r="F117" i="97"/>
  <c r="F109" i="97"/>
  <c r="D242" i="97"/>
  <c r="F242" i="97" s="1"/>
  <c r="D234" i="97"/>
  <c r="F234" i="97" s="1"/>
  <c r="D127" i="97"/>
  <c r="F127" i="97" s="1"/>
  <c r="F55" i="97"/>
  <c r="F53" i="97"/>
  <c r="F47" i="97"/>
  <c r="A52" i="90"/>
  <c r="A108" i="90" s="1"/>
  <c r="A160" i="90" s="1"/>
  <c r="F11" i="104"/>
  <c r="F13" i="104"/>
  <c r="F15" i="104"/>
  <c r="F24" i="104"/>
  <c r="F25" i="104"/>
  <c r="F26" i="104"/>
  <c r="F27" i="104"/>
  <c r="F28" i="104"/>
  <c r="F29" i="104"/>
  <c r="F30" i="104"/>
  <c r="F31" i="104"/>
  <c r="F32" i="104"/>
  <c r="F38" i="104"/>
  <c r="F39" i="104"/>
  <c r="F40" i="104"/>
  <c r="F41" i="104"/>
  <c r="F42" i="104"/>
  <c r="F48" i="104"/>
  <c r="F49" i="104"/>
  <c r="F50" i="104"/>
  <c r="F51" i="104"/>
  <c r="F52" i="104"/>
  <c r="F53" i="104"/>
  <c r="F54" i="104"/>
  <c r="F55" i="104"/>
  <c r="F56" i="104"/>
  <c r="F57" i="104"/>
  <c r="F59" i="104"/>
  <c r="F61" i="104"/>
  <c r="F63" i="104"/>
  <c r="F65" i="104"/>
  <c r="F67" i="104"/>
  <c r="F69" i="104"/>
  <c r="F71" i="104"/>
  <c r="F73" i="104"/>
  <c r="F75" i="104"/>
  <c r="F77" i="104"/>
  <c r="F79" i="104"/>
  <c r="F81" i="104"/>
  <c r="F106" i="104"/>
  <c r="F107" i="104"/>
  <c r="F108" i="104"/>
  <c r="F109" i="104"/>
  <c r="F110" i="104"/>
  <c r="F111" i="104"/>
  <c r="F112" i="104"/>
  <c r="F113" i="104"/>
  <c r="F114" i="104"/>
  <c r="F115" i="104"/>
  <c r="F116" i="104"/>
  <c r="F117" i="104"/>
  <c r="F118" i="104"/>
  <c r="F119" i="104"/>
  <c r="F120" i="104"/>
  <c r="F122" i="104"/>
  <c r="F124" i="104"/>
  <c r="F125" i="104"/>
  <c r="F126" i="104"/>
  <c r="F127" i="104"/>
  <c r="F128" i="104"/>
  <c r="F129" i="104"/>
  <c r="F131" i="104"/>
  <c r="F133" i="104"/>
  <c r="F135" i="104"/>
  <c r="F137" i="104"/>
  <c r="F139" i="104"/>
  <c r="F141" i="104"/>
  <c r="F143" i="104"/>
  <c r="F145" i="104"/>
  <c r="F147" i="104"/>
  <c r="F149" i="104"/>
  <c r="F151" i="104"/>
  <c r="F153" i="104"/>
  <c r="F160" i="104"/>
  <c r="F162" i="104"/>
  <c r="F163" i="104"/>
  <c r="F164" i="104"/>
  <c r="F166" i="104"/>
  <c r="F168" i="104"/>
  <c r="F169" i="104"/>
  <c r="F170" i="104"/>
  <c r="F171" i="104"/>
  <c r="F172" i="104"/>
  <c r="F173" i="104"/>
  <c r="F174" i="104"/>
  <c r="F175" i="104"/>
  <c r="F176" i="104"/>
  <c r="F177" i="104"/>
  <c r="F178" i="104"/>
  <c r="F179" i="104"/>
  <c r="F180" i="104"/>
  <c r="F181" i="104"/>
  <c r="F183" i="104"/>
  <c r="F185" i="104"/>
  <c r="F186" i="104"/>
  <c r="F187" i="104"/>
  <c r="F188" i="104"/>
  <c r="F189" i="104"/>
  <c r="F190" i="104"/>
  <c r="F191" i="104"/>
  <c r="F192" i="104"/>
  <c r="F193" i="104"/>
  <c r="F194" i="104"/>
  <c r="F195" i="104"/>
  <c r="F196" i="104"/>
  <c r="F197" i="104"/>
  <c r="F198" i="104"/>
  <c r="F211" i="104"/>
  <c r="F212" i="104"/>
  <c r="F213" i="104"/>
  <c r="F214" i="104"/>
  <c r="F215" i="104"/>
  <c r="F216" i="104"/>
  <c r="F217" i="104"/>
  <c r="F218" i="104"/>
  <c r="F219" i="104"/>
  <c r="F220" i="104"/>
  <c r="F221" i="104"/>
  <c r="F222" i="104"/>
  <c r="F223" i="104"/>
  <c r="F224" i="104"/>
  <c r="F225" i="104"/>
  <c r="F226" i="104"/>
  <c r="F227" i="104"/>
  <c r="F228" i="104"/>
  <c r="F229" i="104"/>
  <c r="F230" i="104"/>
  <c r="F231" i="104"/>
  <c r="F232" i="104"/>
  <c r="F233" i="104"/>
  <c r="F234" i="104"/>
  <c r="F235" i="104"/>
  <c r="F236" i="104"/>
  <c r="F237" i="104"/>
  <c r="F238" i="104"/>
  <c r="F239" i="104"/>
  <c r="F240" i="104"/>
  <c r="F241" i="104"/>
  <c r="F243" i="104"/>
  <c r="F245" i="104"/>
  <c r="F246" i="104"/>
  <c r="F247" i="104"/>
  <c r="F248" i="104"/>
  <c r="F249" i="104"/>
  <c r="F250" i="104"/>
  <c r="F251" i="104"/>
  <c r="F252" i="104"/>
  <c r="F253" i="104"/>
  <c r="F254" i="104"/>
  <c r="F255" i="104"/>
  <c r="F259" i="104"/>
  <c r="F260" i="104"/>
  <c r="F261" i="104"/>
  <c r="F262" i="104"/>
  <c r="F263" i="104"/>
  <c r="F264" i="104"/>
  <c r="F265" i="104"/>
  <c r="F266" i="104"/>
  <c r="F267" i="104"/>
  <c r="F268" i="104"/>
  <c r="F269" i="104"/>
  <c r="F270" i="104"/>
  <c r="F271" i="104"/>
  <c r="F272" i="104"/>
  <c r="F273" i="104"/>
  <c r="F274" i="104"/>
  <c r="F275" i="104"/>
  <c r="F276" i="104"/>
  <c r="F277" i="104"/>
  <c r="F278" i="104"/>
  <c r="F279" i="104"/>
  <c r="F280" i="104"/>
  <c r="F281" i="104"/>
  <c r="F282" i="104"/>
  <c r="F283" i="104"/>
  <c r="F284" i="104"/>
  <c r="F285" i="104"/>
  <c r="F286" i="104"/>
  <c r="F287" i="104"/>
  <c r="F288" i="104"/>
  <c r="F289" i="104"/>
  <c r="F290" i="104"/>
  <c r="F291" i="104"/>
  <c r="F292" i="104"/>
  <c r="F294" i="104"/>
  <c r="F296" i="104"/>
  <c r="F297" i="104"/>
  <c r="F298" i="104"/>
  <c r="F299" i="104"/>
  <c r="F300" i="104"/>
  <c r="F301" i="104"/>
  <c r="F307" i="104"/>
  <c r="F308" i="104"/>
  <c r="F309" i="104"/>
  <c r="F310" i="104"/>
  <c r="F311" i="104"/>
  <c r="F312" i="104"/>
  <c r="F313" i="104"/>
  <c r="F314" i="104"/>
  <c r="F315" i="104"/>
  <c r="F316" i="104"/>
  <c r="F317" i="104"/>
  <c r="F318" i="104"/>
  <c r="F319" i="104"/>
  <c r="F320" i="104"/>
  <c r="F321" i="104"/>
  <c r="F322" i="104"/>
  <c r="F323" i="104"/>
  <c r="F324" i="104"/>
  <c r="F325" i="104"/>
  <c r="F326" i="104"/>
  <c r="F327" i="104"/>
  <c r="F328" i="104"/>
  <c r="F329" i="104"/>
  <c r="F330" i="104"/>
  <c r="F331" i="104"/>
  <c r="F332" i="104"/>
  <c r="F333" i="104"/>
  <c r="F334" i="104"/>
  <c r="F335" i="104"/>
  <c r="F340" i="104"/>
  <c r="F341" i="104"/>
  <c r="F342" i="104"/>
  <c r="F343" i="104"/>
  <c r="F344" i="104"/>
  <c r="F345" i="104"/>
  <c r="F346" i="104"/>
  <c r="F347" i="104"/>
  <c r="F356" i="104"/>
  <c r="F357" i="104"/>
  <c r="F358" i="104"/>
  <c r="F359" i="104"/>
  <c r="F360" i="104"/>
  <c r="F361" i="104"/>
  <c r="F362" i="104"/>
  <c r="F363" i="104"/>
  <c r="F364" i="104"/>
  <c r="F365" i="104"/>
  <c r="F366" i="104"/>
  <c r="F367" i="104"/>
  <c r="F368" i="104"/>
  <c r="F369" i="104"/>
  <c r="F370" i="104"/>
  <c r="F371" i="104"/>
  <c r="F372" i="104"/>
  <c r="F373" i="104"/>
  <c r="F374" i="104"/>
  <c r="F375" i="104"/>
  <c r="F376" i="104"/>
  <c r="F377" i="104"/>
  <c r="F378" i="104"/>
  <c r="F379" i="104"/>
  <c r="F380" i="104"/>
  <c r="F381" i="104"/>
  <c r="F382" i="104"/>
  <c r="F383" i="104"/>
  <c r="F384" i="104"/>
  <c r="F385" i="104"/>
  <c r="F386" i="104"/>
  <c r="F390" i="104"/>
  <c r="F391" i="104"/>
  <c r="F392" i="104"/>
  <c r="F393" i="104"/>
  <c r="F394" i="104"/>
  <c r="F395" i="104"/>
  <c r="F396" i="104"/>
  <c r="F397" i="104"/>
  <c r="F398" i="104"/>
  <c r="F399" i="104"/>
  <c r="F400" i="104"/>
  <c r="F405" i="104"/>
  <c r="F406" i="104"/>
  <c r="F407" i="104"/>
  <c r="F408" i="104"/>
  <c r="F409" i="104"/>
  <c r="F410" i="104"/>
  <c r="F411" i="104"/>
  <c r="F412" i="104"/>
  <c r="F413" i="104"/>
  <c r="F414" i="104"/>
  <c r="F415" i="104"/>
  <c r="F416" i="104"/>
  <c r="F417" i="104"/>
  <c r="F418" i="104"/>
  <c r="F419" i="104"/>
  <c r="F420" i="104"/>
  <c r="F421" i="104"/>
  <c r="F422" i="104"/>
  <c r="F423" i="104"/>
  <c r="F424" i="104"/>
  <c r="F425" i="104"/>
  <c r="F426" i="104"/>
  <c r="F427" i="104"/>
  <c r="F428" i="104"/>
  <c r="F429" i="104"/>
  <c r="F430" i="104"/>
  <c r="F431" i="104"/>
  <c r="F432" i="104"/>
  <c r="F433" i="104"/>
  <c r="F434" i="104"/>
  <c r="F435" i="104"/>
  <c r="F441" i="104"/>
  <c r="F442" i="104"/>
  <c r="F443" i="104"/>
  <c r="F444" i="104"/>
  <c r="F445" i="104"/>
  <c r="F448" i="104"/>
  <c r="F449" i="104"/>
  <c r="F450" i="104"/>
  <c r="F451" i="104"/>
  <c r="F452" i="104"/>
  <c r="F453" i="104"/>
  <c r="F454" i="104"/>
  <c r="F455" i="104"/>
  <c r="F456" i="104"/>
  <c r="F457" i="104"/>
  <c r="F458" i="104"/>
  <c r="F459" i="104"/>
  <c r="F460" i="104"/>
  <c r="F461" i="104"/>
  <c r="F462" i="104"/>
  <c r="F463" i="104"/>
  <c r="F464" i="104"/>
  <c r="F465" i="104"/>
  <c r="F466" i="104"/>
  <c r="F467" i="104"/>
  <c r="F468" i="104"/>
  <c r="F469" i="104"/>
  <c r="F470" i="104"/>
  <c r="F471" i="104"/>
  <c r="F472" i="104"/>
  <c r="F473" i="104"/>
  <c r="F474" i="104"/>
  <c r="F475" i="104"/>
  <c r="F494" i="104"/>
  <c r="F495" i="104"/>
  <c r="F496" i="104"/>
  <c r="F497" i="104"/>
  <c r="F498" i="104"/>
  <c r="F499" i="104"/>
  <c r="F500" i="104"/>
  <c r="F501" i="104"/>
  <c r="F502" i="104"/>
  <c r="F503" i="104"/>
  <c r="F504" i="104"/>
  <c r="F505" i="104"/>
  <c r="F506" i="104"/>
  <c r="F507" i="104"/>
  <c r="F508" i="104"/>
  <c r="F509" i="104"/>
  <c r="F510" i="104"/>
  <c r="F511" i="104"/>
  <c r="F512" i="104"/>
  <c r="F513" i="104"/>
  <c r="F514" i="104"/>
  <c r="F515" i="104"/>
  <c r="F526" i="104"/>
  <c r="F527" i="104"/>
  <c r="F528" i="104"/>
  <c r="F530" i="104"/>
  <c r="F532" i="104"/>
  <c r="F533" i="104"/>
  <c r="F534" i="104"/>
  <c r="F535" i="104"/>
  <c r="F536" i="104"/>
  <c r="F537" i="104"/>
  <c r="F538" i="104"/>
  <c r="F539" i="104"/>
  <c r="F540" i="104"/>
  <c r="F541" i="104"/>
  <c r="F542" i="104"/>
  <c r="F543" i="104"/>
  <c r="F544" i="104"/>
  <c r="F545" i="104"/>
  <c r="F546" i="104"/>
  <c r="F547" i="104"/>
  <c r="F548" i="104"/>
  <c r="F549" i="104"/>
  <c r="F550" i="104"/>
  <c r="F551" i="104"/>
  <c r="F552" i="104"/>
  <c r="F553" i="104"/>
  <c r="F554" i="104"/>
  <c r="F555" i="104"/>
  <c r="F556" i="104"/>
  <c r="F557" i="104"/>
  <c r="F558" i="104"/>
  <c r="F559" i="104"/>
  <c r="F560" i="104"/>
  <c r="F561" i="104"/>
  <c r="F562" i="104"/>
  <c r="F566" i="104"/>
  <c r="F567" i="104"/>
  <c r="F568" i="104"/>
  <c r="F569" i="104"/>
  <c r="F570" i="104"/>
  <c r="F571" i="104"/>
  <c r="F572" i="104"/>
  <c r="F573" i="104"/>
  <c r="F574" i="104"/>
  <c r="F578" i="104"/>
  <c r="F579" i="104"/>
  <c r="F580" i="104"/>
  <c r="F581" i="104"/>
  <c r="F582" i="104"/>
  <c r="F583" i="104"/>
  <c r="F584" i="104"/>
  <c r="F585" i="104"/>
  <c r="F586" i="104"/>
  <c r="F587" i="104"/>
  <c r="F588" i="104"/>
  <c r="F589" i="104"/>
  <c r="F590" i="104"/>
  <c r="F591" i="104"/>
  <c r="F592" i="104"/>
  <c r="F593" i="104"/>
  <c r="F594" i="104"/>
  <c r="F595" i="104"/>
  <c r="F596" i="104"/>
  <c r="F597" i="104"/>
  <c r="F598" i="104"/>
  <c r="F599" i="104"/>
  <c r="F600" i="104"/>
  <c r="F601" i="104"/>
  <c r="F602" i="104"/>
  <c r="F603" i="104"/>
  <c r="F604" i="104"/>
  <c r="F605" i="104"/>
  <c r="F606" i="104"/>
  <c r="F607" i="104"/>
  <c r="F610" i="104"/>
  <c r="F611" i="104"/>
  <c r="F612" i="104"/>
  <c r="F613" i="104"/>
  <c r="F614" i="104"/>
  <c r="F615" i="104"/>
  <c r="F616" i="104"/>
  <c r="F617" i="104"/>
  <c r="F621" i="104"/>
  <c r="F622" i="104"/>
  <c r="F623" i="104"/>
  <c r="F624" i="104"/>
  <c r="F625" i="104"/>
  <c r="F626" i="104"/>
  <c r="F627" i="104"/>
  <c r="F628" i="104"/>
  <c r="F629" i="104"/>
  <c r="F630" i="104"/>
  <c r="F631" i="104"/>
  <c r="F632" i="104"/>
  <c r="F633" i="104"/>
  <c r="F634" i="104"/>
  <c r="F635" i="104"/>
  <c r="F636" i="104"/>
  <c r="F637" i="104"/>
  <c r="F638" i="104"/>
  <c r="F639" i="104"/>
  <c r="F647" i="104"/>
  <c r="F649" i="104"/>
  <c r="F130" i="104"/>
  <c r="F132" i="104"/>
  <c r="F134" i="104"/>
  <c r="F136" i="104"/>
  <c r="D105" i="97"/>
  <c r="F105" i="97" s="1"/>
  <c r="D103" i="97"/>
  <c r="F10" i="94"/>
  <c r="F12" i="94"/>
  <c r="D16" i="94"/>
  <c r="F16" i="94"/>
  <c r="F20" i="94"/>
  <c r="F22" i="94"/>
  <c r="D28" i="94"/>
  <c r="F28" i="94"/>
  <c r="D30" i="94"/>
  <c r="F30" i="94"/>
  <c r="D32" i="94"/>
  <c r="F32" i="94" s="1"/>
  <c r="D34" i="94"/>
  <c r="F34" i="94"/>
  <c r="D36" i="94"/>
  <c r="F36" i="94" s="1"/>
  <c r="D38" i="94"/>
  <c r="F38" i="94"/>
  <c r="F55" i="94"/>
  <c r="F57" i="94"/>
  <c r="F59" i="94"/>
  <c r="F60" i="94"/>
  <c r="F61" i="94"/>
  <c r="F63" i="94"/>
  <c r="F64" i="94"/>
  <c r="F65" i="94"/>
  <c r="F66" i="94"/>
  <c r="F67" i="94"/>
  <c r="F68" i="94"/>
  <c r="F69" i="94"/>
  <c r="F74" i="94"/>
  <c r="F76" i="94"/>
  <c r="F80" i="94"/>
  <c r="F82" i="94"/>
  <c r="F86" i="94"/>
  <c r="F88" i="94"/>
  <c r="F89" i="94"/>
  <c r="F90" i="94"/>
  <c r="F94" i="94"/>
  <c r="F98" i="94"/>
  <c r="F100" i="94"/>
  <c r="F102" i="94"/>
  <c r="F112" i="94"/>
  <c r="F116" i="94"/>
  <c r="F118" i="94"/>
  <c r="F122" i="94"/>
  <c r="F128" i="94"/>
  <c r="F132" i="94"/>
  <c r="F136" i="94"/>
  <c r="F142" i="94"/>
  <c r="F144" i="94"/>
  <c r="F146" i="94"/>
  <c r="F163" i="94"/>
  <c r="F167" i="94"/>
  <c r="F201" i="94" s="1"/>
  <c r="F274" i="94" s="1"/>
  <c r="F169" i="94"/>
  <c r="D171" i="94"/>
  <c r="F171" i="94"/>
  <c r="F173" i="94"/>
  <c r="D179" i="94"/>
  <c r="F179" i="94"/>
  <c r="D181" i="94"/>
  <c r="F181" i="94" s="1"/>
  <c r="F185" i="94"/>
  <c r="F187" i="94"/>
  <c r="F191" i="94"/>
  <c r="F193" i="94"/>
  <c r="F195" i="94"/>
  <c r="F197" i="94"/>
  <c r="D208" i="94"/>
  <c r="F208" i="94" s="1"/>
  <c r="F212" i="94"/>
  <c r="D218" i="94"/>
  <c r="F218" i="94"/>
  <c r="D16" i="97"/>
  <c r="F16" i="97" s="1"/>
  <c r="F19" i="97"/>
  <c r="F21" i="97"/>
  <c r="F23" i="97"/>
  <c r="F25" i="97"/>
  <c r="F65" i="97"/>
  <c r="F67" i="97"/>
  <c r="F69" i="97"/>
  <c r="D260" i="97"/>
  <c r="F260" i="97" s="1"/>
  <c r="F97" i="97"/>
  <c r="F99" i="97"/>
  <c r="F200" i="97"/>
  <c r="F206" i="97"/>
  <c r="D208" i="97"/>
  <c r="F208" i="97" s="1"/>
  <c r="F213" i="97"/>
  <c r="D215" i="97"/>
  <c r="F215" i="97" s="1"/>
  <c r="D232" i="97"/>
  <c r="F232" i="97" s="1"/>
  <c r="F236" i="97"/>
  <c r="F264" i="97"/>
  <c r="F10" i="90"/>
  <c r="F135" i="90"/>
  <c r="F139" i="90"/>
  <c r="J48" i="94"/>
  <c r="J49" i="94"/>
  <c r="AI264" i="97"/>
  <c r="AM264" i="97" s="1"/>
  <c r="AJ264" i="97"/>
  <c r="AN264" i="97" s="1"/>
  <c r="AI263" i="97"/>
  <c r="AM263" i="97" s="1"/>
  <c r="AJ263" i="97"/>
  <c r="AN263" i="97" s="1"/>
  <c r="AI262" i="97"/>
  <c r="AM262" i="97" s="1"/>
  <c r="AJ262" i="97"/>
  <c r="AN262" i="97" s="1"/>
  <c r="AP245" i="97"/>
  <c r="AL245" i="97"/>
  <c r="AI245" i="97"/>
  <c r="AM245" i="97" s="1"/>
  <c r="AP242" i="97"/>
  <c r="AL242" i="97"/>
  <c r="AI242" i="97"/>
  <c r="AM242" i="97" s="1"/>
  <c r="AP241" i="97"/>
  <c r="AL241" i="97"/>
  <c r="AI241" i="97"/>
  <c r="AM241" i="97" s="1"/>
  <c r="AP240" i="97"/>
  <c r="AL240" i="97"/>
  <c r="AI240" i="97"/>
  <c r="AM240" i="97" s="1"/>
  <c r="AP201" i="97"/>
  <c r="AL201" i="97"/>
  <c r="AH201" i="97"/>
  <c r="AD201" i="97"/>
  <c r="AA201" i="97"/>
  <c r="AE201" i="97" s="1"/>
  <c r="AI201" i="97" s="1"/>
  <c r="AM201" i="97" s="1"/>
  <c r="T201" i="97"/>
  <c r="X201" i="97" s="1"/>
  <c r="AB201" i="97" s="1"/>
  <c r="AP105" i="97"/>
  <c r="AL105" i="97"/>
  <c r="AP104" i="97"/>
  <c r="AL104" i="97"/>
  <c r="AM104" i="97"/>
  <c r="AP103" i="97"/>
  <c r="AL103" i="97"/>
  <c r="AP102" i="97"/>
  <c r="AL102" i="97"/>
  <c r="AN102" i="97" s="1"/>
  <c r="AM102" i="97"/>
  <c r="AP101" i="97"/>
  <c r="AL101" i="97"/>
  <c r="AN101" i="97" s="1"/>
  <c r="AM101" i="97"/>
  <c r="AP100" i="97"/>
  <c r="AL100" i="97"/>
  <c r="AM100" i="97"/>
  <c r="AP99" i="97"/>
  <c r="AL99" i="97"/>
  <c r="AM99" i="97"/>
  <c r="AP98" i="97"/>
  <c r="AL98" i="97"/>
  <c r="AM98" i="97"/>
  <c r="AP97" i="97"/>
  <c r="AL97" i="97"/>
  <c r="AM97" i="97"/>
  <c r="AP96" i="97"/>
  <c r="AL96" i="97"/>
  <c r="AM96" i="97"/>
  <c r="AP95" i="97"/>
  <c r="AL95" i="97"/>
  <c r="AM95" i="97"/>
  <c r="AP94" i="97"/>
  <c r="AL94" i="97"/>
  <c r="AM94" i="97"/>
  <c r="AP93" i="97"/>
  <c r="AL93" i="97"/>
  <c r="AN93" i="97" s="1"/>
  <c r="AM93" i="97"/>
  <c r="AP71" i="97"/>
  <c r="AL71" i="97"/>
  <c r="AM71" i="97"/>
  <c r="AP70" i="97"/>
  <c r="AL70" i="97"/>
  <c r="AM70" i="97"/>
  <c r="AP69" i="97"/>
  <c r="AL69" i="97"/>
  <c r="AM69" i="97"/>
  <c r="AP68" i="97"/>
  <c r="AL68" i="97"/>
  <c r="AM68" i="97"/>
  <c r="AP67" i="97"/>
  <c r="AL67" i="97"/>
  <c r="AM67" i="97"/>
  <c r="AP66" i="97"/>
  <c r="AL66" i="97"/>
  <c r="AM66" i="97"/>
  <c r="AP65" i="97"/>
  <c r="AL65" i="97"/>
  <c r="AM65" i="97"/>
  <c r="AP64" i="97"/>
  <c r="AL64" i="97"/>
  <c r="AM64" i="97"/>
  <c r="AP63" i="97"/>
  <c r="AL63" i="97"/>
  <c r="AM63" i="97"/>
  <c r="AP56" i="97"/>
  <c r="AL56" i="97"/>
  <c r="AM56" i="97"/>
  <c r="AP42" i="97"/>
  <c r="AL42" i="97"/>
  <c r="AN42" i="97" s="1"/>
  <c r="AM42" i="97"/>
  <c r="AP38" i="97"/>
  <c r="AM38" i="97"/>
  <c r="AP37" i="97"/>
  <c r="AL37" i="97"/>
  <c r="AM37" i="97"/>
  <c r="AP36" i="97"/>
  <c r="AL36" i="97"/>
  <c r="AM36" i="97"/>
  <c r="N29" i="94"/>
  <c r="J33" i="94"/>
  <c r="I215" i="94"/>
  <c r="M217" i="94"/>
  <c r="J216" i="94"/>
  <c r="J215" i="94"/>
  <c r="L217" i="94"/>
  <c r="K214" i="94"/>
  <c r="L214" i="94" s="1"/>
  <c r="K213" i="94"/>
  <c r="AA218" i="94"/>
  <c r="AE218" i="94"/>
  <c r="AI218" i="94" s="1"/>
  <c r="AM218" i="94" s="1"/>
  <c r="T218" i="94"/>
  <c r="X218" i="94"/>
  <c r="AB218" i="94" s="1"/>
  <c r="AF218" i="94" s="1"/>
  <c r="AJ218" i="94" s="1"/>
  <c r="AN218" i="94" s="1"/>
  <c r="AA217" i="94"/>
  <c r="AE217" i="94" s="1"/>
  <c r="AI217" i="94" s="1"/>
  <c r="AM217" i="94" s="1"/>
  <c r="T217" i="94"/>
  <c r="X217" i="94"/>
  <c r="AB217" i="94" s="1"/>
  <c r="AF217" i="94" s="1"/>
  <c r="AJ217" i="94" s="1"/>
  <c r="AN217" i="94" s="1"/>
  <c r="AA216" i="94"/>
  <c r="AE216" i="94"/>
  <c r="AI216" i="94"/>
  <c r="AM216" i="94"/>
  <c r="T216" i="94"/>
  <c r="X216" i="94"/>
  <c r="AB216" i="94"/>
  <c r="AF216" i="94"/>
  <c r="AJ216" i="94" s="1"/>
  <c r="AN216" i="94"/>
  <c r="D216" i="94"/>
  <c r="E216" i="94"/>
  <c r="AA215" i="94"/>
  <c r="AE215" i="94"/>
  <c r="AI215" i="94" s="1"/>
  <c r="AM215" i="94" s="1"/>
  <c r="T215" i="94"/>
  <c r="X215" i="94"/>
  <c r="AB215" i="94" s="1"/>
  <c r="AF215" i="94" s="1"/>
  <c r="AJ215" i="94" s="1"/>
  <c r="AN215" i="94" s="1"/>
  <c r="AA214" i="94"/>
  <c r="AE214" i="94" s="1"/>
  <c r="AI214" i="94" s="1"/>
  <c r="AM214" i="94" s="1"/>
  <c r="T214" i="94"/>
  <c r="X214" i="94" s="1"/>
  <c r="AB214" i="94" s="1"/>
  <c r="AF214" i="94" s="1"/>
  <c r="AJ214" i="94" s="1"/>
  <c r="AN214" i="94" s="1"/>
  <c r="AA212" i="94"/>
  <c r="AE212" i="94"/>
  <c r="AI212" i="94"/>
  <c r="AM212" i="94"/>
  <c r="T212" i="94"/>
  <c r="X212" i="94"/>
  <c r="AB212" i="94"/>
  <c r="AF212" i="94"/>
  <c r="AJ212" i="94" s="1"/>
  <c r="AN212" i="94"/>
  <c r="AA211" i="94"/>
  <c r="AE211" i="94"/>
  <c r="AI211" i="94" s="1"/>
  <c r="AM211" i="94"/>
  <c r="T211" i="94"/>
  <c r="X211" i="94" s="1"/>
  <c r="AB211" i="94" s="1"/>
  <c r="AF211" i="94" s="1"/>
  <c r="AJ211" i="94"/>
  <c r="AN211" i="94"/>
  <c r="AA210" i="94"/>
  <c r="AE210" i="94"/>
  <c r="AI210" i="94"/>
  <c r="AM210" i="94"/>
  <c r="T210" i="94"/>
  <c r="X210" i="94"/>
  <c r="AB210" i="94"/>
  <c r="AF210" i="94"/>
  <c r="AJ210" i="94" s="1"/>
  <c r="AN210" i="94" s="1"/>
  <c r="AA208" i="94"/>
  <c r="AE208" i="94"/>
  <c r="AI208" i="94" s="1"/>
  <c r="AM208" i="94"/>
  <c r="T208" i="94"/>
  <c r="X208" i="94"/>
  <c r="AB208" i="94" s="1"/>
  <c r="AF208" i="94"/>
  <c r="AJ208" i="94"/>
  <c r="AN208" i="94" s="1"/>
  <c r="AA207" i="94"/>
  <c r="AE207" i="94"/>
  <c r="AI207" i="94"/>
  <c r="AM207" i="94" s="1"/>
  <c r="T207" i="94"/>
  <c r="X207" i="94"/>
  <c r="AB207" i="94" s="1"/>
  <c r="AF207" i="94" s="1"/>
  <c r="AJ207" i="94" s="1"/>
  <c r="AN207" i="94" s="1"/>
  <c r="AA199" i="94"/>
  <c r="AE199" i="94"/>
  <c r="AI199" i="94" s="1"/>
  <c r="AM199" i="94" s="1"/>
  <c r="T199" i="94"/>
  <c r="X199" i="94"/>
  <c r="AB199" i="94" s="1"/>
  <c r="AF199" i="94"/>
  <c r="AJ199" i="94" s="1"/>
  <c r="AN199" i="94" s="1"/>
  <c r="AP197" i="94"/>
  <c r="AL197" i="94"/>
  <c r="AH197" i="94"/>
  <c r="AD197" i="94"/>
  <c r="Z197" i="94"/>
  <c r="V197" i="94"/>
  <c r="R197" i="94"/>
  <c r="O197" i="94"/>
  <c r="N197" i="94"/>
  <c r="AP196" i="94"/>
  <c r="AL196" i="94"/>
  <c r="AH196" i="94"/>
  <c r="AD196" i="94"/>
  <c r="AA196" i="94"/>
  <c r="AE196" i="94" s="1"/>
  <c r="AI196" i="94" s="1"/>
  <c r="AM196" i="94" s="1"/>
  <c r="P196" i="94"/>
  <c r="T196" i="94"/>
  <c r="X196" i="94" s="1"/>
  <c r="AB196" i="94" s="1"/>
  <c r="AF196" i="94" s="1"/>
  <c r="AJ196" i="94"/>
  <c r="AN196" i="94"/>
  <c r="AP195" i="94"/>
  <c r="AL195" i="94"/>
  <c r="AH195" i="94"/>
  <c r="AD195" i="94"/>
  <c r="AA195" i="94"/>
  <c r="AE195" i="94"/>
  <c r="AI195" i="94"/>
  <c r="AM195" i="94"/>
  <c r="P195" i="94"/>
  <c r="T195" i="94"/>
  <c r="X195" i="94"/>
  <c r="AB195" i="94"/>
  <c r="AP194" i="94"/>
  <c r="AL194" i="94"/>
  <c r="AH194" i="94"/>
  <c r="AD194" i="94"/>
  <c r="AA194" i="94"/>
  <c r="AE194" i="94" s="1"/>
  <c r="AI194" i="94"/>
  <c r="AM194" i="94" s="1"/>
  <c r="P194" i="94"/>
  <c r="T194" i="94" s="1"/>
  <c r="X194" i="94"/>
  <c r="AB194" i="94" s="1"/>
  <c r="AP193" i="94"/>
  <c r="AL193" i="94"/>
  <c r="AH193" i="94"/>
  <c r="AD193" i="94"/>
  <c r="Z193" i="94"/>
  <c r="V193" i="94"/>
  <c r="S193" i="94"/>
  <c r="W193" i="94" s="1"/>
  <c r="AA193" i="94" s="1"/>
  <c r="AE193" i="94" s="1"/>
  <c r="AI193" i="94" s="1"/>
  <c r="AM193" i="94" s="1"/>
  <c r="R193" i="94"/>
  <c r="T193" i="94" s="1"/>
  <c r="P193" i="94"/>
  <c r="AS191" i="94"/>
  <c r="AP191" i="94"/>
  <c r="AL191" i="94"/>
  <c r="AH191" i="94"/>
  <c r="AD191" i="94"/>
  <c r="Z191" i="94"/>
  <c r="V191" i="94"/>
  <c r="R191" i="94"/>
  <c r="N191" i="94"/>
  <c r="K191" i="94"/>
  <c r="O191" i="94"/>
  <c r="P191" i="94"/>
  <c r="J191" i="94"/>
  <c r="L191" i="94"/>
  <c r="AP190" i="94"/>
  <c r="AL190" i="94"/>
  <c r="AH190" i="94"/>
  <c r="AD190" i="94"/>
  <c r="AA190" i="94"/>
  <c r="AE190" i="94"/>
  <c r="AI190" i="94" s="1"/>
  <c r="AM190" i="94"/>
  <c r="P190" i="94"/>
  <c r="T190" i="94"/>
  <c r="X190" i="94" s="1"/>
  <c r="AB190" i="94"/>
  <c r="AP189" i="94"/>
  <c r="AL189" i="94"/>
  <c r="AH189" i="94"/>
  <c r="AD189" i="94"/>
  <c r="AA189" i="94"/>
  <c r="AE189" i="94" s="1"/>
  <c r="AI189" i="94" s="1"/>
  <c r="AM189" i="94" s="1"/>
  <c r="P189" i="94"/>
  <c r="T189" i="94" s="1"/>
  <c r="X189" i="94" s="1"/>
  <c r="AB189" i="94" s="1"/>
  <c r="AF189" i="94" s="1"/>
  <c r="AP188" i="94"/>
  <c r="AL188" i="94"/>
  <c r="AH188" i="94"/>
  <c r="AD188" i="94"/>
  <c r="AA188" i="94"/>
  <c r="AE188" i="94"/>
  <c r="AI188" i="94" s="1"/>
  <c r="AM188" i="94"/>
  <c r="T188" i="94"/>
  <c r="X188" i="94"/>
  <c r="AB188" i="94" s="1"/>
  <c r="AP187" i="94"/>
  <c r="AK187" i="94"/>
  <c r="AL187" i="94" s="1"/>
  <c r="AG187" i="94"/>
  <c r="AH187" i="94"/>
  <c r="AD187" i="94"/>
  <c r="Z187" i="94"/>
  <c r="V187" i="94"/>
  <c r="S187" i="94"/>
  <c r="W187" i="94"/>
  <c r="AA187" i="94" s="1"/>
  <c r="AE187" i="94" s="1"/>
  <c r="R187" i="94"/>
  <c r="T187" i="94"/>
  <c r="AP186" i="94"/>
  <c r="AL186" i="94"/>
  <c r="AH186" i="94"/>
  <c r="AD186" i="94"/>
  <c r="AA186" i="94"/>
  <c r="AE186" i="94" s="1"/>
  <c r="AI186" i="94" s="1"/>
  <c r="AM186" i="94" s="1"/>
  <c r="T186" i="94"/>
  <c r="X186" i="94" s="1"/>
  <c r="AB186" i="94"/>
  <c r="AP185" i="94"/>
  <c r="AL185" i="94"/>
  <c r="AH185" i="94"/>
  <c r="AD185" i="94"/>
  <c r="Z185" i="94"/>
  <c r="V185" i="94"/>
  <c r="R185" i="94"/>
  <c r="N185" i="94"/>
  <c r="K185" i="94"/>
  <c r="O185" i="94"/>
  <c r="S185" i="94" s="1"/>
  <c r="W185" i="94"/>
  <c r="AA185" i="94"/>
  <c r="AE185" i="94" s="1"/>
  <c r="AI185" i="94" s="1"/>
  <c r="AM185" i="94" s="1"/>
  <c r="J185" i="94"/>
  <c r="L185" i="94"/>
  <c r="AP184" i="94"/>
  <c r="AL184" i="94"/>
  <c r="AH184" i="94"/>
  <c r="AD184" i="94"/>
  <c r="AA184" i="94"/>
  <c r="AE184" i="94"/>
  <c r="AI184" i="94"/>
  <c r="AM184" i="94"/>
  <c r="T184" i="94"/>
  <c r="X184" i="94"/>
  <c r="AB184" i="94"/>
  <c r="AP183" i="94"/>
  <c r="AL183" i="94"/>
  <c r="AH183" i="94"/>
  <c r="AD183" i="94"/>
  <c r="AA183" i="94"/>
  <c r="AE183" i="94" s="1"/>
  <c r="AI183" i="94" s="1"/>
  <c r="AM183" i="94" s="1"/>
  <c r="T183" i="94"/>
  <c r="X183" i="94" s="1"/>
  <c r="AB183" i="94"/>
  <c r="AF183" i="94" s="1"/>
  <c r="AP181" i="94"/>
  <c r="AL181" i="94"/>
  <c r="AH181" i="94"/>
  <c r="AD181" i="94"/>
  <c r="Z181" i="94"/>
  <c r="V181" i="94"/>
  <c r="S181" i="94"/>
  <c r="W181" i="94"/>
  <c r="AA181" i="94" s="1"/>
  <c r="AE181" i="94" s="1"/>
  <c r="AI181" i="94" s="1"/>
  <c r="AM181" i="94" s="1"/>
  <c r="P181" i="94"/>
  <c r="T181" i="94" s="1"/>
  <c r="AP179" i="94"/>
  <c r="AL179" i="94"/>
  <c r="AH179" i="94"/>
  <c r="AD179" i="94"/>
  <c r="Z179" i="94"/>
  <c r="V179" i="94"/>
  <c r="X179" i="94" s="1"/>
  <c r="S179" i="94"/>
  <c r="W179" i="94" s="1"/>
  <c r="AA179" i="94" s="1"/>
  <c r="AE179" i="94" s="1"/>
  <c r="AI179" i="94"/>
  <c r="AM179" i="94"/>
  <c r="P179" i="94"/>
  <c r="T179" i="94"/>
  <c r="AP178" i="94"/>
  <c r="AL178" i="94"/>
  <c r="AH178" i="94"/>
  <c r="AD178" i="94"/>
  <c r="AA178" i="94"/>
  <c r="AE178" i="94" s="1"/>
  <c r="AI178" i="94" s="1"/>
  <c r="AM178" i="94" s="1"/>
  <c r="AP177" i="94"/>
  <c r="AL177" i="94"/>
  <c r="AH177" i="94"/>
  <c r="AD177" i="94"/>
  <c r="AA177" i="94"/>
  <c r="AE177" i="94" s="1"/>
  <c r="AI177" i="94" s="1"/>
  <c r="AM177" i="94" s="1"/>
  <c r="AP175" i="94"/>
  <c r="AL175" i="94"/>
  <c r="AH175" i="94"/>
  <c r="AD175" i="94"/>
  <c r="AA175" i="94"/>
  <c r="AE175" i="94" s="1"/>
  <c r="AI175" i="94"/>
  <c r="AM175" i="94"/>
  <c r="T175" i="94"/>
  <c r="X175" i="94" s="1"/>
  <c r="AB175" i="94"/>
  <c r="AP173" i="94"/>
  <c r="AL173" i="94"/>
  <c r="AH173" i="94"/>
  <c r="AD173" i="94"/>
  <c r="AA173" i="94"/>
  <c r="AE173" i="94"/>
  <c r="AI173" i="94"/>
  <c r="AM173" i="94" s="1"/>
  <c r="T173" i="94"/>
  <c r="X173" i="94" s="1"/>
  <c r="AB173" i="94" s="1"/>
  <c r="AF173" i="94" s="1"/>
  <c r="AJ173" i="94" s="1"/>
  <c r="AP172" i="94"/>
  <c r="AL172" i="94"/>
  <c r="AH172" i="94"/>
  <c r="AD172" i="94"/>
  <c r="AA172" i="94"/>
  <c r="AE172" i="94"/>
  <c r="AI172" i="94" s="1"/>
  <c r="AM172" i="94" s="1"/>
  <c r="T172" i="94"/>
  <c r="X172" i="94"/>
  <c r="AB172" i="94" s="1"/>
  <c r="AF172" i="94" s="1"/>
  <c r="AJ172" i="94" s="1"/>
  <c r="AN172" i="94" s="1"/>
  <c r="AP171" i="94"/>
  <c r="AL171" i="94"/>
  <c r="AH171" i="94"/>
  <c r="AD171" i="94"/>
  <c r="AA171" i="94"/>
  <c r="AE171" i="94" s="1"/>
  <c r="AI171" i="94"/>
  <c r="AM171" i="94"/>
  <c r="T171" i="94"/>
  <c r="X171" i="94" s="1"/>
  <c r="AB171" i="94"/>
  <c r="AP169" i="94"/>
  <c r="AL169" i="94"/>
  <c r="AH169" i="94"/>
  <c r="AD169" i="94"/>
  <c r="AA169" i="94"/>
  <c r="AE169" i="94"/>
  <c r="AI169" i="94" s="1"/>
  <c r="AM169" i="94" s="1"/>
  <c r="T169" i="94"/>
  <c r="X169" i="94"/>
  <c r="AB169" i="94" s="1"/>
  <c r="AP168" i="94"/>
  <c r="AL168" i="94"/>
  <c r="AH168" i="94"/>
  <c r="AD168" i="94"/>
  <c r="AA168" i="94"/>
  <c r="AE168" i="94" s="1"/>
  <c r="AI168" i="94" s="1"/>
  <c r="AM168" i="94" s="1"/>
  <c r="T168" i="94"/>
  <c r="X168" i="94"/>
  <c r="AB168" i="94" s="1"/>
  <c r="AP167" i="94"/>
  <c r="AL167" i="94"/>
  <c r="AH167" i="94"/>
  <c r="AD167" i="94"/>
  <c r="AA167" i="94"/>
  <c r="AE167" i="94"/>
  <c r="AI167" i="94"/>
  <c r="AM167" i="94" s="1"/>
  <c r="T167" i="94"/>
  <c r="X167" i="94"/>
  <c r="AB167" i="94"/>
  <c r="AP166" i="94"/>
  <c r="AL166" i="94"/>
  <c r="AH166" i="94"/>
  <c r="AD166" i="94"/>
  <c r="AA166" i="94"/>
  <c r="AE166" i="94"/>
  <c r="AI166" i="94"/>
  <c r="AM166" i="94"/>
  <c r="T166" i="94"/>
  <c r="X166" i="94"/>
  <c r="AB166" i="94"/>
  <c r="AP165" i="94"/>
  <c r="AL165" i="94"/>
  <c r="AH165" i="94"/>
  <c r="AD165" i="94"/>
  <c r="AA165" i="94"/>
  <c r="AE165" i="94" s="1"/>
  <c r="AI165" i="94"/>
  <c r="AM165" i="94" s="1"/>
  <c r="T165" i="94"/>
  <c r="X165" i="94" s="1"/>
  <c r="AB165" i="94"/>
  <c r="AP163" i="94"/>
  <c r="AL163" i="94"/>
  <c r="AH163" i="94"/>
  <c r="AD163" i="94"/>
  <c r="AA163" i="94"/>
  <c r="AE163" i="94" s="1"/>
  <c r="AI163" i="94" s="1"/>
  <c r="AM163" i="94" s="1"/>
  <c r="T163" i="94"/>
  <c r="X163" i="94"/>
  <c r="AB163" i="94" s="1"/>
  <c r="AF163" i="94" s="1"/>
  <c r="AJ163" i="94" s="1"/>
  <c r="AN163" i="94" s="1"/>
  <c r="AP162" i="94"/>
  <c r="AL162" i="94"/>
  <c r="AH162" i="94"/>
  <c r="AD162" i="94"/>
  <c r="AA162" i="94"/>
  <c r="AE162" i="94"/>
  <c r="AI162" i="94"/>
  <c r="AM162" i="94" s="1"/>
  <c r="T162" i="94"/>
  <c r="X162" i="94" s="1"/>
  <c r="AB162" i="94" s="1"/>
  <c r="AF162" i="94" s="1"/>
  <c r="AJ162" i="94" s="1"/>
  <c r="AN162" i="94" s="1"/>
  <c r="AP161" i="94"/>
  <c r="AL161" i="94"/>
  <c r="AH161" i="94"/>
  <c r="AD161" i="94"/>
  <c r="AA161" i="94"/>
  <c r="AE161" i="94"/>
  <c r="AI161" i="94" s="1"/>
  <c r="AM161" i="94" s="1"/>
  <c r="T161" i="94"/>
  <c r="X161" i="94"/>
  <c r="AB161" i="94" s="1"/>
  <c r="AF161" i="94" s="1"/>
  <c r="AJ161" i="94" s="1"/>
  <c r="AN161" i="94" s="1"/>
  <c r="AP160" i="94"/>
  <c r="AL160" i="94"/>
  <c r="AH160" i="94"/>
  <c r="AD160" i="94"/>
  <c r="AA160" i="94"/>
  <c r="AE160" i="94" s="1"/>
  <c r="AI160" i="94"/>
  <c r="AM160" i="94"/>
  <c r="T160" i="94"/>
  <c r="X160" i="94" s="1"/>
  <c r="AB160" i="94"/>
  <c r="AP159" i="94"/>
  <c r="AL159" i="94"/>
  <c r="AH159" i="94"/>
  <c r="AD159" i="94"/>
  <c r="AA159" i="94"/>
  <c r="AE159" i="94"/>
  <c r="AI159" i="94" s="1"/>
  <c r="AM159" i="94" s="1"/>
  <c r="T159" i="94"/>
  <c r="X159" i="94"/>
  <c r="AB159" i="94" s="1"/>
  <c r="AP146" i="94"/>
  <c r="AL146" i="94"/>
  <c r="AH146" i="94"/>
  <c r="AD146" i="94"/>
  <c r="AA146" i="94"/>
  <c r="AE146" i="94"/>
  <c r="AI146" i="94" s="1"/>
  <c r="AM146" i="94"/>
  <c r="T146" i="94"/>
  <c r="X146" i="94" s="1"/>
  <c r="AB146" i="94" s="1"/>
  <c r="AF146" i="94" s="1"/>
  <c r="AJ146" i="94" s="1"/>
  <c r="AN146" i="94" s="1"/>
  <c r="AP145" i="94"/>
  <c r="AL145" i="94"/>
  <c r="AH145" i="94"/>
  <c r="AD145" i="94"/>
  <c r="AA145" i="94"/>
  <c r="AE145" i="94"/>
  <c r="AI145" i="94" s="1"/>
  <c r="AM145" i="94" s="1"/>
  <c r="T145" i="94"/>
  <c r="X145" i="94"/>
  <c r="AB145" i="94"/>
  <c r="AP142" i="94"/>
  <c r="AL142" i="94"/>
  <c r="AH142" i="94"/>
  <c r="AD142" i="94"/>
  <c r="AA142" i="94"/>
  <c r="AE142" i="94"/>
  <c r="AI142" i="94"/>
  <c r="AM142" i="94"/>
  <c r="Z142" i="94"/>
  <c r="V142" i="94"/>
  <c r="R142" i="94"/>
  <c r="T142" i="94"/>
  <c r="AP141" i="94"/>
  <c r="AL141" i="94"/>
  <c r="AN141" i="94" s="1"/>
  <c r="AH141" i="94"/>
  <c r="AD141" i="94"/>
  <c r="AA141" i="94"/>
  <c r="AE141" i="94"/>
  <c r="AI141" i="94" s="1"/>
  <c r="AM141" i="94" s="1"/>
  <c r="T141" i="94"/>
  <c r="X141" i="94"/>
  <c r="AB141" i="94"/>
  <c r="AF141" i="94" s="1"/>
  <c r="AJ141" i="94" s="1"/>
  <c r="AP140" i="94"/>
  <c r="AL140" i="94"/>
  <c r="AH140" i="94"/>
  <c r="AD140" i="94"/>
  <c r="AA140" i="94"/>
  <c r="AE140" i="94" s="1"/>
  <c r="AI140" i="94"/>
  <c r="AM140" i="94" s="1"/>
  <c r="T140" i="94"/>
  <c r="X140" i="94" s="1"/>
  <c r="AB140" i="94"/>
  <c r="AP139" i="94"/>
  <c r="AL139" i="94"/>
  <c r="AH139" i="94"/>
  <c r="AD139" i="94"/>
  <c r="AA139" i="94"/>
  <c r="AE139" i="94" s="1"/>
  <c r="AI139" i="94" s="1"/>
  <c r="AM139" i="94" s="1"/>
  <c r="T139" i="94"/>
  <c r="X139" i="94" s="1"/>
  <c r="AB139" i="94" s="1"/>
  <c r="AP138" i="94"/>
  <c r="AL138" i="94"/>
  <c r="AH138" i="94"/>
  <c r="AD138" i="94"/>
  <c r="AA138" i="94"/>
  <c r="AE138" i="94"/>
  <c r="AI138" i="94"/>
  <c r="AM138" i="94"/>
  <c r="T138" i="94"/>
  <c r="X138" i="94"/>
  <c r="AB138" i="94"/>
  <c r="AF138" i="94"/>
  <c r="AP136" i="94"/>
  <c r="AL136" i="94"/>
  <c r="AH136" i="94"/>
  <c r="AD136" i="94"/>
  <c r="AA136" i="94"/>
  <c r="AE136" i="94" s="1"/>
  <c r="AI136" i="94" s="1"/>
  <c r="AM136" i="94" s="1"/>
  <c r="T136" i="94"/>
  <c r="X136" i="94" s="1"/>
  <c r="AB136" i="94" s="1"/>
  <c r="AF136" i="94" s="1"/>
  <c r="AJ136" i="94" s="1"/>
  <c r="AN136" i="94" s="1"/>
  <c r="AP135" i="94"/>
  <c r="AL135" i="94"/>
  <c r="AH135" i="94"/>
  <c r="AD135" i="94"/>
  <c r="AA135" i="94"/>
  <c r="AE135" i="94"/>
  <c r="AI135" i="94"/>
  <c r="AM135" i="94" s="1"/>
  <c r="T135" i="94"/>
  <c r="X135" i="94" s="1"/>
  <c r="AB135" i="94" s="1"/>
  <c r="AF135" i="94" s="1"/>
  <c r="AP134" i="94"/>
  <c r="AL134" i="94"/>
  <c r="AH134" i="94"/>
  <c r="AD134" i="94"/>
  <c r="AA134" i="94"/>
  <c r="AE134" i="94" s="1"/>
  <c r="AI134" i="94" s="1"/>
  <c r="AM134" i="94" s="1"/>
  <c r="T134" i="94"/>
  <c r="X134" i="94"/>
  <c r="AB134" i="94" s="1"/>
  <c r="AF134" i="94" s="1"/>
  <c r="AJ134" i="94"/>
  <c r="AN134" i="94" s="1"/>
  <c r="AP133" i="94"/>
  <c r="AL133" i="94"/>
  <c r="AH133" i="94"/>
  <c r="AJ133" i="94" s="1"/>
  <c r="AN133" i="94" s="1"/>
  <c r="AD133" i="94"/>
  <c r="AA133" i="94"/>
  <c r="AE133" i="94"/>
  <c r="AI133" i="94"/>
  <c r="AM133" i="94" s="1"/>
  <c r="T133" i="94"/>
  <c r="X133" i="94"/>
  <c r="AB133" i="94"/>
  <c r="AF133" i="94" s="1"/>
  <c r="AP132" i="94"/>
  <c r="AL132" i="94"/>
  <c r="AH132" i="94"/>
  <c r="AD132" i="94"/>
  <c r="AA132" i="94"/>
  <c r="AE132" i="94"/>
  <c r="AI132" i="94" s="1"/>
  <c r="AM132" i="94" s="1"/>
  <c r="T132" i="94"/>
  <c r="X132" i="94" s="1"/>
  <c r="AB132" i="94" s="1"/>
  <c r="AF132" i="94" s="1"/>
  <c r="AJ132" i="94" s="1"/>
  <c r="AP131" i="94"/>
  <c r="AL131" i="94"/>
  <c r="AH131" i="94"/>
  <c r="AD131" i="94"/>
  <c r="AA131" i="94"/>
  <c r="AE131" i="94"/>
  <c r="AI131" i="94"/>
  <c r="AM131" i="94"/>
  <c r="T131" i="94"/>
  <c r="X131" i="94"/>
  <c r="AB131" i="94"/>
  <c r="AF131" i="94"/>
  <c r="AP128" i="94"/>
  <c r="AL128" i="94"/>
  <c r="AH128" i="94"/>
  <c r="AD128" i="94"/>
  <c r="AA128" i="94"/>
  <c r="AE128" i="94"/>
  <c r="AI128" i="94"/>
  <c r="AM128" i="94"/>
  <c r="T128" i="94"/>
  <c r="X128" i="94"/>
  <c r="AB128" i="94"/>
  <c r="AF128" i="94"/>
  <c r="AP127" i="94"/>
  <c r="AL127" i="94"/>
  <c r="AH127" i="94"/>
  <c r="AD127" i="94"/>
  <c r="AA127" i="94"/>
  <c r="AE127" i="94" s="1"/>
  <c r="AI127" i="94" s="1"/>
  <c r="AM127" i="94" s="1"/>
  <c r="T127" i="94"/>
  <c r="X127" i="94"/>
  <c r="AB127" i="94" s="1"/>
  <c r="AF127" i="94" s="1"/>
  <c r="AJ127" i="94" s="1"/>
  <c r="AN127" i="94" s="1"/>
  <c r="AP125" i="94"/>
  <c r="AL125" i="94"/>
  <c r="AH125" i="94"/>
  <c r="AJ125" i="94" s="1"/>
  <c r="AN125" i="94" s="1"/>
  <c r="AD125" i="94"/>
  <c r="AA125" i="94"/>
  <c r="AE125" i="94"/>
  <c r="AI125" i="94"/>
  <c r="AM125" i="94" s="1"/>
  <c r="T125" i="94"/>
  <c r="X125" i="94"/>
  <c r="AB125" i="94"/>
  <c r="AF125" i="94" s="1"/>
  <c r="AP124" i="94"/>
  <c r="AL124" i="94"/>
  <c r="AH124" i="94"/>
  <c r="AD124" i="94"/>
  <c r="AA124" i="94"/>
  <c r="AE124" i="94"/>
  <c r="AI124" i="94" s="1"/>
  <c r="AM124" i="94" s="1"/>
  <c r="T124" i="94"/>
  <c r="X124" i="94" s="1"/>
  <c r="AB124" i="94" s="1"/>
  <c r="AP122" i="94"/>
  <c r="AL122" i="94"/>
  <c r="AH122" i="94"/>
  <c r="AD122" i="94"/>
  <c r="AA122" i="94"/>
  <c r="AE122" i="94"/>
  <c r="AI122" i="94" s="1"/>
  <c r="AM122" i="94" s="1"/>
  <c r="T122" i="94"/>
  <c r="X122" i="94"/>
  <c r="AB122" i="94"/>
  <c r="AF122" i="94" s="1"/>
  <c r="AP121" i="94"/>
  <c r="AL121" i="94"/>
  <c r="AH121" i="94"/>
  <c r="AD121" i="94"/>
  <c r="AA121" i="94"/>
  <c r="AE121" i="94" s="1"/>
  <c r="AI121" i="94" s="1"/>
  <c r="AM121" i="94"/>
  <c r="T121" i="94"/>
  <c r="X121" i="94" s="1"/>
  <c r="AB121" i="94" s="1"/>
  <c r="AF121" i="94" s="1"/>
  <c r="AJ121" i="94" s="1"/>
  <c r="AN121" i="94" s="1"/>
  <c r="AP120" i="94"/>
  <c r="AL120" i="94"/>
  <c r="AH120" i="94"/>
  <c r="AJ120" i="94" s="1"/>
  <c r="AD120" i="94"/>
  <c r="AA120" i="94"/>
  <c r="AE120" i="94"/>
  <c r="AI120" i="94"/>
  <c r="AM120" i="94" s="1"/>
  <c r="T120" i="94"/>
  <c r="X120" i="94"/>
  <c r="AB120" i="94"/>
  <c r="AF120" i="94" s="1"/>
  <c r="AP119" i="94"/>
  <c r="AL119" i="94"/>
  <c r="AH119" i="94"/>
  <c r="AD119" i="94"/>
  <c r="AA119" i="94"/>
  <c r="AE119" i="94" s="1"/>
  <c r="AI119" i="94" s="1"/>
  <c r="AM119" i="94" s="1"/>
  <c r="T119" i="94"/>
  <c r="X119" i="94"/>
  <c r="AB119" i="94" s="1"/>
  <c r="AP118" i="94"/>
  <c r="AL118" i="94"/>
  <c r="AH118" i="94"/>
  <c r="AD118" i="94"/>
  <c r="AA118" i="94"/>
  <c r="AE118" i="94"/>
  <c r="AI118" i="94"/>
  <c r="AM118" i="94" s="1"/>
  <c r="T118" i="94"/>
  <c r="X118" i="94"/>
  <c r="AB118" i="94" s="1"/>
  <c r="AF118" i="94" s="1"/>
  <c r="AP117" i="94"/>
  <c r="AL117" i="94"/>
  <c r="AH117" i="94"/>
  <c r="AD117" i="94"/>
  <c r="AA117" i="94"/>
  <c r="AE117" i="94" s="1"/>
  <c r="AI117" i="94" s="1"/>
  <c r="AM117" i="94" s="1"/>
  <c r="T117" i="94"/>
  <c r="X117" i="94" s="1"/>
  <c r="AB117" i="94" s="1"/>
  <c r="AF117" i="94"/>
  <c r="AJ117" i="94"/>
  <c r="AP116" i="94"/>
  <c r="AL116" i="94"/>
  <c r="AH116" i="94"/>
  <c r="AD116" i="94"/>
  <c r="AA116" i="94"/>
  <c r="AE116" i="94"/>
  <c r="AI116" i="94"/>
  <c r="AM116" i="94"/>
  <c r="T116" i="94"/>
  <c r="X116" i="94"/>
  <c r="AB116" i="94"/>
  <c r="AF116" i="94"/>
  <c r="AP115" i="94"/>
  <c r="AL115" i="94"/>
  <c r="AH115" i="94"/>
  <c r="AD115" i="94"/>
  <c r="AA115" i="94"/>
  <c r="AE115" i="94" s="1"/>
  <c r="AI115" i="94" s="1"/>
  <c r="AM115" i="94" s="1"/>
  <c r="T115" i="94"/>
  <c r="X115" i="94"/>
  <c r="AB115" i="94" s="1"/>
  <c r="AP111" i="94"/>
  <c r="AL111" i="94"/>
  <c r="AH111" i="94"/>
  <c r="AD111" i="94"/>
  <c r="AA111" i="94"/>
  <c r="AE111" i="94"/>
  <c r="AI111" i="94"/>
  <c r="AM111" i="94" s="1"/>
  <c r="T111" i="94"/>
  <c r="X111" i="94"/>
  <c r="AB111" i="94" s="1"/>
  <c r="AP102" i="94"/>
  <c r="AL102" i="94"/>
  <c r="AH102" i="94"/>
  <c r="AJ102" i="94" s="1"/>
  <c r="AN102" i="94" s="1"/>
  <c r="AD102" i="94"/>
  <c r="AA102" i="94"/>
  <c r="AE102" i="94"/>
  <c r="AI102" i="94"/>
  <c r="AM102" i="94" s="1"/>
  <c r="T102" i="94"/>
  <c r="X102" i="94"/>
  <c r="AB102" i="94"/>
  <c r="AF102" i="94" s="1"/>
  <c r="AP100" i="94"/>
  <c r="AL100" i="94"/>
  <c r="AH100" i="94"/>
  <c r="AD100" i="94"/>
  <c r="AA100" i="94"/>
  <c r="AE100" i="94" s="1"/>
  <c r="AI100" i="94" s="1"/>
  <c r="AM100" i="94"/>
  <c r="T100" i="94"/>
  <c r="X100" i="94" s="1"/>
  <c r="AB100" i="94" s="1"/>
  <c r="AF100" i="94"/>
  <c r="AP99" i="94"/>
  <c r="AL99" i="94"/>
  <c r="AH99" i="94"/>
  <c r="AD99" i="94"/>
  <c r="AA99" i="94"/>
  <c r="AE99" i="94" s="1"/>
  <c r="AI99" i="94" s="1"/>
  <c r="AM99" i="94"/>
  <c r="T99" i="94"/>
  <c r="X99" i="94" s="1"/>
  <c r="AB99" i="94" s="1"/>
  <c r="AP98" i="94"/>
  <c r="AL98" i="94"/>
  <c r="AH98" i="94"/>
  <c r="AD98" i="94"/>
  <c r="AA98" i="94"/>
  <c r="AE98" i="94" s="1"/>
  <c r="AI98" i="94" s="1"/>
  <c r="AM98" i="94" s="1"/>
  <c r="T98" i="94"/>
  <c r="X98" i="94"/>
  <c r="AB98" i="94" s="1"/>
  <c r="AF98" i="94" s="1"/>
  <c r="AJ98" i="94" s="1"/>
  <c r="AN98" i="94" s="1"/>
  <c r="AP97" i="94"/>
  <c r="AL97" i="94"/>
  <c r="AH97" i="94"/>
  <c r="AJ97" i="94" s="1"/>
  <c r="AN97" i="94" s="1"/>
  <c r="AD97" i="94"/>
  <c r="AA97" i="94"/>
  <c r="AE97" i="94"/>
  <c r="AI97" i="94"/>
  <c r="AM97" i="94" s="1"/>
  <c r="T97" i="94"/>
  <c r="X97" i="94"/>
  <c r="AB97" i="94"/>
  <c r="AF97" i="94" s="1"/>
  <c r="AP96" i="94"/>
  <c r="AL96" i="94"/>
  <c r="AH96" i="94"/>
  <c r="AD96" i="94"/>
  <c r="AA96" i="94"/>
  <c r="AE96" i="94" s="1"/>
  <c r="AI96" i="94" s="1"/>
  <c r="AM96" i="94"/>
  <c r="T96" i="94"/>
  <c r="X96" i="94" s="1"/>
  <c r="AB96" i="94" s="1"/>
  <c r="AP95" i="94"/>
  <c r="AL95" i="94"/>
  <c r="AH95" i="94"/>
  <c r="AD95" i="94"/>
  <c r="AF95" i="94"/>
  <c r="AJ95" i="94" s="1"/>
  <c r="AN95" i="94" s="1"/>
  <c r="AA95" i="94"/>
  <c r="AE95" i="94" s="1"/>
  <c r="AI95" i="94" s="1"/>
  <c r="AM95" i="94"/>
  <c r="T95" i="94"/>
  <c r="X95" i="94" s="1"/>
  <c r="AB95" i="94" s="1"/>
  <c r="AP94" i="94"/>
  <c r="AL94" i="94"/>
  <c r="AH94" i="94"/>
  <c r="AD94" i="94"/>
  <c r="AA94" i="94"/>
  <c r="AE94" i="94" s="1"/>
  <c r="AI94" i="94" s="1"/>
  <c r="AM94" i="94" s="1"/>
  <c r="T94" i="94"/>
  <c r="X94" i="94"/>
  <c r="AB94" i="94" s="1"/>
  <c r="AF94" i="94" s="1"/>
  <c r="AP93" i="94"/>
  <c r="AL93" i="94"/>
  <c r="AH93" i="94"/>
  <c r="AD93" i="94"/>
  <c r="AA93" i="94"/>
  <c r="AE93" i="94"/>
  <c r="AI93" i="94"/>
  <c r="AM93" i="94" s="1"/>
  <c r="T93" i="94"/>
  <c r="X93" i="94"/>
  <c r="AB93" i="94" s="1"/>
  <c r="AF93" i="94" s="1"/>
  <c r="AP92" i="94"/>
  <c r="AL92" i="94"/>
  <c r="AH92" i="94"/>
  <c r="AD92" i="94"/>
  <c r="AA92" i="94"/>
  <c r="AE92" i="94"/>
  <c r="AI92" i="94"/>
  <c r="AM92" i="94" s="1"/>
  <c r="T92" i="94"/>
  <c r="X92" i="94"/>
  <c r="AB92" i="94"/>
  <c r="AF92" i="94" s="1"/>
  <c r="AJ92" i="94" s="1"/>
  <c r="AN92" i="94" s="1"/>
  <c r="AP90" i="94"/>
  <c r="AL90" i="94"/>
  <c r="AH90" i="94"/>
  <c r="AD90" i="94"/>
  <c r="AA90" i="94"/>
  <c r="AE90" i="94" s="1"/>
  <c r="AI90" i="94" s="1"/>
  <c r="AM90" i="94"/>
  <c r="T90" i="94"/>
  <c r="X90" i="94" s="1"/>
  <c r="AB90" i="94" s="1"/>
  <c r="AP88" i="94"/>
  <c r="AL88" i="94"/>
  <c r="AH88" i="94"/>
  <c r="AD88" i="94"/>
  <c r="AA88" i="94"/>
  <c r="AE88" i="94" s="1"/>
  <c r="AI88" i="94" s="1"/>
  <c r="AM88" i="94" s="1"/>
  <c r="T88" i="94"/>
  <c r="X88" i="94"/>
  <c r="AB88" i="94" s="1"/>
  <c r="AF88" i="94" s="1"/>
  <c r="AP87" i="94"/>
  <c r="AL87" i="94"/>
  <c r="AH87" i="94"/>
  <c r="AD87" i="94"/>
  <c r="AA87" i="94"/>
  <c r="AE87" i="94"/>
  <c r="AI87" i="94"/>
  <c r="AM87" i="94" s="1"/>
  <c r="T87" i="94"/>
  <c r="X87" i="94"/>
  <c r="AB87" i="94" s="1"/>
  <c r="AF87" i="94" s="1"/>
  <c r="AP86" i="94"/>
  <c r="AL86" i="94"/>
  <c r="AH86" i="94"/>
  <c r="AD86" i="94"/>
  <c r="AA86" i="94"/>
  <c r="AE86" i="94"/>
  <c r="AI86" i="94"/>
  <c r="AM86" i="94" s="1"/>
  <c r="T86" i="94"/>
  <c r="X86" i="94"/>
  <c r="AB86" i="94"/>
  <c r="AF86" i="94" s="1"/>
  <c r="AP85" i="94"/>
  <c r="AL85" i="94"/>
  <c r="AH85" i="94"/>
  <c r="AD85" i="94"/>
  <c r="AF85" i="94" s="1"/>
  <c r="AA85" i="94"/>
  <c r="AE85" i="94"/>
  <c r="AI85" i="94"/>
  <c r="AM85" i="94"/>
  <c r="T85" i="94"/>
  <c r="X85" i="94"/>
  <c r="AB85" i="94"/>
  <c r="AP84" i="94"/>
  <c r="AL84" i="94"/>
  <c r="AH84" i="94"/>
  <c r="AD84" i="94"/>
  <c r="AA84" i="94"/>
  <c r="AE84" i="94" s="1"/>
  <c r="AI84" i="94" s="1"/>
  <c r="AM84" i="94"/>
  <c r="T84" i="94"/>
  <c r="X84" i="94" s="1"/>
  <c r="AB84" i="94" s="1"/>
  <c r="AF84" i="94"/>
  <c r="AP82" i="94"/>
  <c r="AL82" i="94"/>
  <c r="AH82" i="94"/>
  <c r="AD82" i="94"/>
  <c r="Z82" i="94"/>
  <c r="V82" i="94"/>
  <c r="R82" i="94"/>
  <c r="N82" i="94"/>
  <c r="K82" i="94"/>
  <c r="O82" i="94"/>
  <c r="J82" i="94"/>
  <c r="L82" i="94" s="1"/>
  <c r="AP81" i="94"/>
  <c r="AL81" i="94"/>
  <c r="AH81" i="94"/>
  <c r="AD81" i="94"/>
  <c r="AA81" i="94"/>
  <c r="AE81" i="94" s="1"/>
  <c r="AI81" i="94" s="1"/>
  <c r="AM81" i="94" s="1"/>
  <c r="T81" i="94"/>
  <c r="X81" i="94"/>
  <c r="AB81" i="94" s="1"/>
  <c r="AF81" i="94" s="1"/>
  <c r="AJ81" i="94"/>
  <c r="AP80" i="94"/>
  <c r="AL80" i="94"/>
  <c r="AH80" i="94"/>
  <c r="AD80" i="94"/>
  <c r="Z80" i="94"/>
  <c r="V80" i="94"/>
  <c r="R80" i="94"/>
  <c r="N80" i="94"/>
  <c r="K80" i="94"/>
  <c r="O80" i="94" s="1"/>
  <c r="P80" i="94" s="1"/>
  <c r="J80" i="94"/>
  <c r="L80" i="94"/>
  <c r="AP79" i="94"/>
  <c r="AL79" i="94"/>
  <c r="AH79" i="94"/>
  <c r="AD79" i="94"/>
  <c r="AA79" i="94"/>
  <c r="AE79" i="94"/>
  <c r="AI79" i="94"/>
  <c r="AM79" i="94"/>
  <c r="T79" i="94"/>
  <c r="X79" i="94"/>
  <c r="AB79" i="94"/>
  <c r="AP78" i="94"/>
  <c r="AL78" i="94"/>
  <c r="AH78" i="94"/>
  <c r="AD78" i="94"/>
  <c r="AA78" i="94"/>
  <c r="AE78" i="94" s="1"/>
  <c r="AI78" i="94" s="1"/>
  <c r="AM78" i="94"/>
  <c r="T78" i="94"/>
  <c r="X78" i="94" s="1"/>
  <c r="AB78" i="94" s="1"/>
  <c r="AP77" i="94"/>
  <c r="AL77" i="94"/>
  <c r="AH77" i="94"/>
  <c r="AD77" i="94"/>
  <c r="AA77" i="94"/>
  <c r="AE77" i="94"/>
  <c r="AI77" i="94" s="1"/>
  <c r="AM77" i="94" s="1"/>
  <c r="T77" i="94"/>
  <c r="X77" i="94" s="1"/>
  <c r="AB77" i="94" s="1"/>
  <c r="AF77" i="94" s="1"/>
  <c r="AJ77" i="94" s="1"/>
  <c r="AN77" i="94" s="1"/>
  <c r="AP76" i="94"/>
  <c r="AL76" i="94"/>
  <c r="AH76" i="94"/>
  <c r="AD76" i="94"/>
  <c r="AA76" i="94"/>
  <c r="AE76" i="94" s="1"/>
  <c r="AI76" i="94" s="1"/>
  <c r="AM76" i="94"/>
  <c r="T76" i="94"/>
  <c r="X76" i="94" s="1"/>
  <c r="AB76" i="94" s="1"/>
  <c r="AP75" i="94"/>
  <c r="AL75" i="94"/>
  <c r="AH75" i="94"/>
  <c r="AD75" i="94"/>
  <c r="AA75" i="94"/>
  <c r="AE75" i="94" s="1"/>
  <c r="AI75" i="94" s="1"/>
  <c r="AM75" i="94"/>
  <c r="T75" i="94"/>
  <c r="X75" i="94" s="1"/>
  <c r="AB75" i="94"/>
  <c r="AP74" i="94"/>
  <c r="AL74" i="94"/>
  <c r="AH74" i="94"/>
  <c r="AD74" i="94"/>
  <c r="AA74" i="94"/>
  <c r="AE74" i="94"/>
  <c r="AI74" i="94" s="1"/>
  <c r="AM74" i="94"/>
  <c r="T74" i="94"/>
  <c r="X74" i="94" s="1"/>
  <c r="AB74" i="94" s="1"/>
  <c r="AP73" i="94"/>
  <c r="AL73" i="94"/>
  <c r="AH73" i="94"/>
  <c r="AD73" i="94"/>
  <c r="AF73" i="94" s="1"/>
  <c r="AA73" i="94"/>
  <c r="AE73" i="94"/>
  <c r="AI73" i="94"/>
  <c r="AM73" i="94"/>
  <c r="T73" i="94"/>
  <c r="X73" i="94"/>
  <c r="AB73" i="94"/>
  <c r="AP72" i="94"/>
  <c r="AL72" i="94"/>
  <c r="AH72" i="94"/>
  <c r="AD72" i="94"/>
  <c r="AF72" i="94"/>
  <c r="AA72" i="94"/>
  <c r="AE72" i="94"/>
  <c r="AI72" i="94"/>
  <c r="AM72" i="94" s="1"/>
  <c r="T72" i="94"/>
  <c r="X72" i="94"/>
  <c r="AB72" i="94"/>
  <c r="AP67" i="94"/>
  <c r="AL67" i="94"/>
  <c r="AH67" i="94"/>
  <c r="AD67" i="94"/>
  <c r="Z67" i="94"/>
  <c r="V67" i="94"/>
  <c r="S67" i="94"/>
  <c r="W67" i="94"/>
  <c r="AA67" i="94"/>
  <c r="AE67" i="94"/>
  <c r="AI67" i="94" s="1"/>
  <c r="AM67" i="94" s="1"/>
  <c r="R67" i="94"/>
  <c r="T67" i="94"/>
  <c r="AP64" i="94"/>
  <c r="AL64" i="94"/>
  <c r="AH64" i="94"/>
  <c r="AD64" i="94"/>
  <c r="AF64" i="94" s="1"/>
  <c r="AA64" i="94"/>
  <c r="AE64" i="94"/>
  <c r="AI64" i="94"/>
  <c r="AM64" i="94"/>
  <c r="T64" i="94"/>
  <c r="X64" i="94"/>
  <c r="AB64" i="94"/>
  <c r="AP63" i="94"/>
  <c r="AL63" i="94"/>
  <c r="AH63" i="94"/>
  <c r="AD63" i="94"/>
  <c r="AA63" i="94"/>
  <c r="AE63" i="94" s="1"/>
  <c r="AI63" i="94" s="1"/>
  <c r="AM63" i="94"/>
  <c r="Z63" i="94"/>
  <c r="AB63" i="94" s="1"/>
  <c r="AF63" i="94" s="1"/>
  <c r="T63" i="94"/>
  <c r="X63" i="94"/>
  <c r="AP62" i="94"/>
  <c r="AL62" i="94"/>
  <c r="AH62" i="94"/>
  <c r="AD62" i="94"/>
  <c r="AA62" i="94"/>
  <c r="AE62" i="94"/>
  <c r="AI62" i="94" s="1"/>
  <c r="AM62" i="94" s="1"/>
  <c r="T62" i="94"/>
  <c r="X62" i="94"/>
  <c r="AB62" i="94" s="1"/>
  <c r="AP59" i="94"/>
  <c r="AL59" i="94"/>
  <c r="AH59" i="94"/>
  <c r="AD59" i="94"/>
  <c r="Z59" i="94"/>
  <c r="V59" i="94"/>
  <c r="R59" i="94"/>
  <c r="N59" i="94"/>
  <c r="P59" i="94" s="1"/>
  <c r="K59" i="94"/>
  <c r="O59" i="94"/>
  <c r="S59" i="94"/>
  <c r="W59" i="94"/>
  <c r="AA59" i="94" s="1"/>
  <c r="AE59" i="94" s="1"/>
  <c r="AI59" i="94" s="1"/>
  <c r="AM59" i="94" s="1"/>
  <c r="J59" i="94"/>
  <c r="L59" i="94"/>
  <c r="AP57" i="94"/>
  <c r="AL57" i="94"/>
  <c r="AH57" i="94"/>
  <c r="AD57" i="94"/>
  <c r="AA57" i="94"/>
  <c r="AE57" i="94" s="1"/>
  <c r="AI57" i="94"/>
  <c r="AM57" i="94" s="1"/>
  <c r="T57" i="94"/>
  <c r="X57" i="94" s="1"/>
  <c r="AB57" i="94"/>
  <c r="AF57" i="94"/>
  <c r="AJ57" i="94" s="1"/>
  <c r="AN57" i="94" s="1"/>
  <c r="AP55" i="94"/>
  <c r="AL55" i="94"/>
  <c r="AH55" i="94"/>
  <c r="AD55" i="94"/>
  <c r="Z55" i="94"/>
  <c r="V55" i="94"/>
  <c r="R55" i="94"/>
  <c r="N55" i="94"/>
  <c r="K55" i="94"/>
  <c r="O55" i="94"/>
  <c r="S55" i="94"/>
  <c r="W55" i="94" s="1"/>
  <c r="AA55" i="94" s="1"/>
  <c r="AE55" i="94" s="1"/>
  <c r="AI55" i="94" s="1"/>
  <c r="AM55" i="94" s="1"/>
  <c r="J55" i="94"/>
  <c r="L55" i="94" s="1"/>
  <c r="P55" i="94" s="1"/>
  <c r="AP54" i="94"/>
  <c r="AL54" i="94"/>
  <c r="AH54" i="94"/>
  <c r="AD54" i="94"/>
  <c r="AA54" i="94"/>
  <c r="AE54" i="94" s="1"/>
  <c r="AI54" i="94"/>
  <c r="AM54" i="94"/>
  <c r="T54" i="94"/>
  <c r="X54" i="94" s="1"/>
  <c r="AB54" i="94"/>
  <c r="AP42" i="94"/>
  <c r="AL42" i="94"/>
  <c r="AH42" i="94"/>
  <c r="AD42" i="94"/>
  <c r="AA42" i="94"/>
  <c r="AE42" i="94"/>
  <c r="AI42" i="94" s="1"/>
  <c r="AM42" i="94" s="1"/>
  <c r="T42" i="94"/>
  <c r="X42" i="94"/>
  <c r="AB42" i="94" s="1"/>
  <c r="AP41" i="94"/>
  <c r="AL41" i="94"/>
  <c r="AH41" i="94"/>
  <c r="AD41" i="94"/>
  <c r="AA41" i="94"/>
  <c r="AE41" i="94" s="1"/>
  <c r="AI41" i="94" s="1"/>
  <c r="AM41" i="94" s="1"/>
  <c r="T41" i="94"/>
  <c r="X41" i="94"/>
  <c r="AB41" i="94" s="1"/>
  <c r="AF41" i="94" s="1"/>
  <c r="AP40" i="94"/>
  <c r="AL40" i="94"/>
  <c r="AH40" i="94"/>
  <c r="AJ40" i="94" s="1"/>
  <c r="AD40" i="94"/>
  <c r="AA40" i="94"/>
  <c r="AE40" i="94"/>
  <c r="AI40" i="94" s="1"/>
  <c r="AM40" i="94" s="1"/>
  <c r="T40" i="94"/>
  <c r="X40" i="94"/>
  <c r="AB40" i="94" s="1"/>
  <c r="AF40" i="94"/>
  <c r="AP33" i="94"/>
  <c r="AL33" i="94"/>
  <c r="AH33" i="94"/>
  <c r="AD33" i="94"/>
  <c r="Z33" i="94"/>
  <c r="V33" i="94"/>
  <c r="R33" i="94"/>
  <c r="O33" i="94"/>
  <c r="N33" i="94"/>
  <c r="AP32" i="94"/>
  <c r="AL32" i="94"/>
  <c r="AH32" i="94"/>
  <c r="AD32" i="94"/>
  <c r="Z32" i="94"/>
  <c r="V32" i="94"/>
  <c r="R32" i="94"/>
  <c r="O32" i="94"/>
  <c r="N32" i="94"/>
  <c r="AP31" i="94"/>
  <c r="AL31" i="94"/>
  <c r="AH31" i="94"/>
  <c r="AD31" i="94"/>
  <c r="AF31" i="94" s="1"/>
  <c r="AJ31" i="94" s="1"/>
  <c r="AN31" i="94" s="1"/>
  <c r="AA31" i="94"/>
  <c r="AE31" i="94" s="1"/>
  <c r="AI31" i="94" s="1"/>
  <c r="AM31" i="94" s="1"/>
  <c r="T31" i="94"/>
  <c r="X31" i="94"/>
  <c r="AB31" i="94" s="1"/>
  <c r="AP30" i="94"/>
  <c r="AL30" i="94"/>
  <c r="AH30" i="94"/>
  <c r="AD30" i="94"/>
  <c r="AA30" i="94"/>
  <c r="AE30" i="94"/>
  <c r="AI30" i="94"/>
  <c r="AM30" i="94"/>
  <c r="T30" i="94"/>
  <c r="X30" i="94"/>
  <c r="AB30" i="94"/>
  <c r="AP29" i="94"/>
  <c r="AL29" i="94"/>
  <c r="AH29" i="94"/>
  <c r="AD29" i="94"/>
  <c r="AA29" i="94"/>
  <c r="AE29" i="94" s="1"/>
  <c r="AI29" i="94"/>
  <c r="AM29" i="94" s="1"/>
  <c r="T29" i="94"/>
  <c r="X29" i="94" s="1"/>
  <c r="AB29" i="94"/>
  <c r="AF29" i="94" s="1"/>
  <c r="AP28" i="94"/>
  <c r="AL28" i="94"/>
  <c r="AH28" i="94"/>
  <c r="AD28" i="94"/>
  <c r="AA28" i="94"/>
  <c r="AE28" i="94" s="1"/>
  <c r="AI28" i="94" s="1"/>
  <c r="AM28" i="94" s="1"/>
  <c r="T28" i="94"/>
  <c r="X28" i="94"/>
  <c r="AB28" i="94" s="1"/>
  <c r="AP27" i="94"/>
  <c r="AL27" i="94"/>
  <c r="AH27" i="94"/>
  <c r="AD27" i="94"/>
  <c r="AA27" i="94"/>
  <c r="AE27" i="94"/>
  <c r="AI27" i="94"/>
  <c r="AM27" i="94" s="1"/>
  <c r="T27" i="94"/>
  <c r="X27" i="94" s="1"/>
  <c r="AB27" i="94" s="1"/>
  <c r="AF27" i="94" s="1"/>
  <c r="AP26" i="94"/>
  <c r="AL26" i="94"/>
  <c r="AH26" i="94"/>
  <c r="AD26" i="94"/>
  <c r="AA26" i="94"/>
  <c r="AE26" i="94"/>
  <c r="AI26" i="94" s="1"/>
  <c r="AM26" i="94" s="1"/>
  <c r="T26" i="94"/>
  <c r="X26" i="94"/>
  <c r="AB26" i="94"/>
  <c r="AP25" i="94"/>
  <c r="AL25" i="94"/>
  <c r="AH25" i="94"/>
  <c r="AJ25" i="94"/>
  <c r="AD25" i="94"/>
  <c r="AA25" i="94"/>
  <c r="AE25" i="94"/>
  <c r="AI25" i="94" s="1"/>
  <c r="AM25" i="94"/>
  <c r="T25" i="94"/>
  <c r="X25" i="94"/>
  <c r="AB25" i="94" s="1"/>
  <c r="AP24" i="94"/>
  <c r="AL24" i="94"/>
  <c r="AH24" i="94"/>
  <c r="AD24" i="94"/>
  <c r="AA24" i="94"/>
  <c r="AE24" i="94"/>
  <c r="AI24" i="94" s="1"/>
  <c r="AM24" i="94" s="1"/>
  <c r="T24" i="94"/>
  <c r="X24" i="94"/>
  <c r="AB24" i="94"/>
  <c r="AF24" i="94" s="1"/>
  <c r="AJ24" i="94" s="1"/>
  <c r="AP23" i="94"/>
  <c r="AL23" i="94"/>
  <c r="AH23" i="94"/>
  <c r="AD23" i="94"/>
  <c r="AA23" i="94"/>
  <c r="AE23" i="94"/>
  <c r="AI23" i="94" s="1"/>
  <c r="AM23" i="94"/>
  <c r="T23" i="94"/>
  <c r="X23" i="94" s="1"/>
  <c r="AB23" i="94" s="1"/>
  <c r="AP22" i="94"/>
  <c r="AL22" i="94"/>
  <c r="AH22" i="94"/>
  <c r="AD22" i="94"/>
  <c r="Z22" i="94"/>
  <c r="V22" i="94"/>
  <c r="R22" i="94"/>
  <c r="N22" i="94"/>
  <c r="K22" i="94"/>
  <c r="O22" i="94"/>
  <c r="J22" i="94"/>
  <c r="L22" i="94" s="1"/>
  <c r="AP21" i="94"/>
  <c r="AL21" i="94"/>
  <c r="AH21" i="94"/>
  <c r="AD21" i="94"/>
  <c r="Z21" i="94"/>
  <c r="V21" i="94"/>
  <c r="R21" i="94"/>
  <c r="N21" i="94"/>
  <c r="K21" i="94"/>
  <c r="O21" i="94"/>
  <c r="S21" i="94" s="1"/>
  <c r="P21" i="94"/>
  <c r="J21" i="94"/>
  <c r="L21" i="94" s="1"/>
  <c r="AP20" i="94"/>
  <c r="AL20" i="94"/>
  <c r="AH20" i="94"/>
  <c r="AD20" i="94"/>
  <c r="Z20" i="94"/>
  <c r="V20" i="94"/>
  <c r="R20" i="94"/>
  <c r="N20" i="94"/>
  <c r="K20" i="94"/>
  <c r="O20" i="94" s="1"/>
  <c r="J20" i="94"/>
  <c r="L20" i="94"/>
  <c r="AP19" i="94"/>
  <c r="AL19" i="94"/>
  <c r="AH19" i="94"/>
  <c r="AD19" i="94"/>
  <c r="AA19" i="94"/>
  <c r="AE19" i="94" s="1"/>
  <c r="AI19" i="94"/>
  <c r="AM19" i="94"/>
  <c r="T19" i="94"/>
  <c r="X19" i="94" s="1"/>
  <c r="AB19" i="94" s="1"/>
  <c r="AP18" i="94"/>
  <c r="AL18" i="94"/>
  <c r="AH18" i="94"/>
  <c r="AD18" i="94"/>
  <c r="AA18" i="94"/>
  <c r="AE18" i="94" s="1"/>
  <c r="AI18" i="94"/>
  <c r="AM18" i="94" s="1"/>
  <c r="T18" i="94"/>
  <c r="X18" i="94" s="1"/>
  <c r="AB18" i="94"/>
  <c r="AP17" i="94"/>
  <c r="AL17" i="94"/>
  <c r="AH17" i="94"/>
  <c r="AD17" i="94"/>
  <c r="AA17" i="94"/>
  <c r="AE17" i="94" s="1"/>
  <c r="AI17" i="94" s="1"/>
  <c r="AM17" i="94" s="1"/>
  <c r="T17" i="94"/>
  <c r="X17" i="94"/>
  <c r="AB17" i="94" s="1"/>
  <c r="AP16" i="94"/>
  <c r="AL16" i="94"/>
  <c r="I16" i="94"/>
  <c r="AP15" i="94"/>
  <c r="AL15" i="94"/>
  <c r="AH15" i="94"/>
  <c r="AD15" i="94"/>
  <c r="AA15" i="94"/>
  <c r="AE15" i="94"/>
  <c r="AI15" i="94" s="1"/>
  <c r="AM15" i="94"/>
  <c r="T15" i="94"/>
  <c r="X15" i="94"/>
  <c r="AB15" i="94" s="1"/>
  <c r="AF15" i="94"/>
  <c r="AP14" i="94"/>
  <c r="AL14" i="94"/>
  <c r="AH14" i="94"/>
  <c r="AD14" i="94"/>
  <c r="AA14" i="94"/>
  <c r="AE14" i="94" s="1"/>
  <c r="AI14" i="94" s="1"/>
  <c r="AM14" i="94" s="1"/>
  <c r="T14" i="94"/>
  <c r="X14" i="94"/>
  <c r="AB14" i="94" s="1"/>
  <c r="AP13" i="94"/>
  <c r="AL13" i="94"/>
  <c r="AN13" i="94" s="1"/>
  <c r="AH13" i="94"/>
  <c r="AD13" i="94"/>
  <c r="AA13" i="94"/>
  <c r="AE13" i="94"/>
  <c r="AI13" i="94" s="1"/>
  <c r="AM13" i="94"/>
  <c r="T13" i="94"/>
  <c r="X13" i="94"/>
  <c r="AB13" i="94" s="1"/>
  <c r="AF13" i="94"/>
  <c r="AJ13" i="94"/>
  <c r="AP12" i="94"/>
  <c r="AL12" i="94"/>
  <c r="AH12" i="94"/>
  <c r="AD12" i="94"/>
  <c r="Z12" i="94"/>
  <c r="V12" i="94"/>
  <c r="R12" i="94"/>
  <c r="O12" i="94"/>
  <c r="N12" i="94"/>
  <c r="AP11" i="94"/>
  <c r="AL11" i="94"/>
  <c r="AH11" i="94"/>
  <c r="AD11" i="94"/>
  <c r="AA11" i="94"/>
  <c r="AE11" i="94"/>
  <c r="AI11" i="94" s="1"/>
  <c r="AM11" i="94" s="1"/>
  <c r="T11" i="94"/>
  <c r="X11" i="94"/>
  <c r="AB11" i="94"/>
  <c r="AF11" i="94" s="1"/>
  <c r="AJ11" i="94" s="1"/>
  <c r="AP10" i="94"/>
  <c r="AL10" i="94"/>
  <c r="AH10" i="94"/>
  <c r="AF76" i="94"/>
  <c r="AJ85" i="94"/>
  <c r="AF99" i="94"/>
  <c r="AJ99" i="94"/>
  <c r="AN99" i="94" s="1"/>
  <c r="AF111" i="94"/>
  <c r="AJ111" i="94" s="1"/>
  <c r="AN111" i="94" s="1"/>
  <c r="AJ183" i="94"/>
  <c r="AN183" i="94"/>
  <c r="P185" i="94"/>
  <c r="T185" i="94" s="1"/>
  <c r="X185" i="94"/>
  <c r="AB185" i="94"/>
  <c r="AF185" i="94"/>
  <c r="AJ185" i="94" s="1"/>
  <c r="AN185" i="94" s="1"/>
  <c r="AF90" i="94"/>
  <c r="AJ90" i="94" s="1"/>
  <c r="AN90" i="94" s="1"/>
  <c r="AF62" i="94"/>
  <c r="AJ62" i="94"/>
  <c r="AN62" i="94"/>
  <c r="AJ84" i="94"/>
  <c r="AN84" i="94"/>
  <c r="X187" i="94"/>
  <c r="AB187" i="94" s="1"/>
  <c r="AF187" i="94" s="1"/>
  <c r="AJ187" i="94" s="1"/>
  <c r="AN187" i="94" s="1"/>
  <c r="AJ86" i="94"/>
  <c r="AN86" i="94" s="1"/>
  <c r="AF160" i="94"/>
  <c r="AF175" i="94"/>
  <c r="AJ175" i="94"/>
  <c r="AN175" i="94" s="1"/>
  <c r="AF184" i="94"/>
  <c r="AJ184" i="94"/>
  <c r="AN184" i="94"/>
  <c r="AF79" i="94"/>
  <c r="AJ79" i="94"/>
  <c r="AN79" i="94" s="1"/>
  <c r="AF188" i="94"/>
  <c r="AJ188" i="94" s="1"/>
  <c r="AN188" i="94" s="1"/>
  <c r="X193" i="94"/>
  <c r="AB193" i="94"/>
  <c r="AF193" i="94" s="1"/>
  <c r="AF75" i="94"/>
  <c r="AJ75" i="94"/>
  <c r="AF145" i="94"/>
  <c r="AJ145" i="94"/>
  <c r="AN145" i="94"/>
  <c r="AF169" i="94"/>
  <c r="AJ169" i="94"/>
  <c r="AF190" i="94"/>
  <c r="AJ190" i="94" s="1"/>
  <c r="AN190" i="94"/>
  <c r="AF42" i="94"/>
  <c r="AJ42" i="94"/>
  <c r="X181" i="94"/>
  <c r="AB181" i="94" s="1"/>
  <c r="AF181" i="94"/>
  <c r="AB179" i="94"/>
  <c r="AF179" i="94"/>
  <c r="AJ179" i="94" s="1"/>
  <c r="AN179" i="94"/>
  <c r="AF194" i="94"/>
  <c r="AJ194" i="94" s="1"/>
  <c r="AN194" i="94" s="1"/>
  <c r="AF78" i="94"/>
  <c r="AJ78" i="94"/>
  <c r="AN78" i="94"/>
  <c r="AF168" i="94"/>
  <c r="AJ168" i="94" s="1"/>
  <c r="AN168" i="94"/>
  <c r="AJ73" i="94"/>
  <c r="AN73" i="94" s="1"/>
  <c r="AJ93" i="94"/>
  <c r="AN93" i="94" s="1"/>
  <c r="AF115" i="94"/>
  <c r="AJ115" i="94"/>
  <c r="AN115" i="94" s="1"/>
  <c r="AF140" i="94"/>
  <c r="AJ140" i="94"/>
  <c r="AN140" i="94"/>
  <c r="AF165" i="94"/>
  <c r="AJ165" i="94" s="1"/>
  <c r="AN165" i="94"/>
  <c r="AF166" i="94"/>
  <c r="AJ166" i="94"/>
  <c r="AN166" i="94" s="1"/>
  <c r="AF186" i="94"/>
  <c r="AJ186" i="94"/>
  <c r="AN186" i="94"/>
  <c r="AJ189" i="94"/>
  <c r="AN189" i="94" s="1"/>
  <c r="S191" i="94"/>
  <c r="W191" i="94" s="1"/>
  <c r="AA191" i="94"/>
  <c r="AE191" i="94"/>
  <c r="AI191" i="94" s="1"/>
  <c r="AM191" i="94" s="1"/>
  <c r="AF30" i="94"/>
  <c r="AJ64" i="94"/>
  <c r="AN64" i="94" s="1"/>
  <c r="AF25" i="94"/>
  <c r="X67" i="94"/>
  <c r="N16" i="94"/>
  <c r="S80" i="94"/>
  <c r="W80" i="94"/>
  <c r="AA80" i="94" s="1"/>
  <c r="AE80" i="94"/>
  <c r="AI80" i="94" s="1"/>
  <c r="AM80" i="94" s="1"/>
  <c r="W21" i="94"/>
  <c r="AA21" i="94"/>
  <c r="AE21" i="94" s="1"/>
  <c r="AI21" i="94" s="1"/>
  <c r="AM21" i="94" s="1"/>
  <c r="S82" i="94"/>
  <c r="W82" i="94" s="1"/>
  <c r="AA82" i="94" s="1"/>
  <c r="AE82" i="94" s="1"/>
  <c r="AI82" i="94" s="1"/>
  <c r="AM82" i="94"/>
  <c r="P82" i="94"/>
  <c r="T82" i="94" s="1"/>
  <c r="X82" i="94" s="1"/>
  <c r="AJ94" i="94"/>
  <c r="AN94" i="94"/>
  <c r="AF119" i="94"/>
  <c r="AJ119" i="94" s="1"/>
  <c r="AN119" i="94"/>
  <c r="AF124" i="94"/>
  <c r="AJ124" i="94"/>
  <c r="AF96" i="94"/>
  <c r="AJ96" i="94"/>
  <c r="AN96" i="94" s="1"/>
  <c r="AF159" i="94"/>
  <c r="AJ159" i="94"/>
  <c r="AN159" i="94"/>
  <c r="AJ87" i="94"/>
  <c r="AN87" i="94"/>
  <c r="AJ131" i="94"/>
  <c r="AN131" i="94" s="1"/>
  <c r="AF171" i="94"/>
  <c r="AJ171" i="94" s="1"/>
  <c r="AN171" i="94" s="1"/>
  <c r="T191" i="94"/>
  <c r="X191" i="94"/>
  <c r="AB191" i="94" s="1"/>
  <c r="AF191" i="94" s="1"/>
  <c r="AJ191" i="94" s="1"/>
  <c r="F141" i="90"/>
  <c r="F137" i="90"/>
  <c r="F133" i="90"/>
  <c r="F129" i="90"/>
  <c r="F127" i="90"/>
  <c r="F125" i="90"/>
  <c r="F123" i="90"/>
  <c r="F121" i="90"/>
  <c r="F117" i="90"/>
  <c r="F98" i="90"/>
  <c r="F96" i="90"/>
  <c r="F94" i="90"/>
  <c r="F92" i="90"/>
  <c r="F90" i="90"/>
  <c r="F88" i="90"/>
  <c r="F86" i="90"/>
  <c r="F84" i="90"/>
  <c r="F82" i="90"/>
  <c r="F80" i="90"/>
  <c r="F78" i="90"/>
  <c r="F76" i="90"/>
  <c r="F74" i="90"/>
  <c r="F72" i="90"/>
  <c r="F70" i="90"/>
  <c r="F68" i="90"/>
  <c r="F66" i="90"/>
  <c r="F64" i="90"/>
  <c r="F62" i="90"/>
  <c r="F60" i="90"/>
  <c r="F36" i="90"/>
  <c r="F34" i="90"/>
  <c r="F32" i="90"/>
  <c r="F30" i="90"/>
  <c r="F28" i="90"/>
  <c r="F26" i="90"/>
  <c r="F24" i="90"/>
  <c r="F22" i="90"/>
  <c r="F20" i="90"/>
  <c r="F18" i="90"/>
  <c r="F16" i="90"/>
  <c r="F14" i="90"/>
  <c r="F12" i="90"/>
  <c r="F131" i="90"/>
  <c r="F119" i="90"/>
  <c r="F115" i="90"/>
  <c r="I286" i="83"/>
  <c r="M286" i="83" s="1"/>
  <c r="Q286" i="83" s="1"/>
  <c r="U286" i="83" s="1"/>
  <c r="Y286" i="83" s="1"/>
  <c r="AC286" i="83"/>
  <c r="J286" i="83"/>
  <c r="L286" i="83"/>
  <c r="P286" i="83"/>
  <c r="T286" i="83"/>
  <c r="X286" i="83"/>
  <c r="AB286" i="83"/>
  <c r="AF286" i="83"/>
  <c r="J299" i="83"/>
  <c r="N299" i="83" s="1"/>
  <c r="R299" i="83" s="1"/>
  <c r="Q299" i="83"/>
  <c r="U299" i="83"/>
  <c r="Y299" i="83" s="1"/>
  <c r="AC299" i="83"/>
  <c r="T299" i="83"/>
  <c r="X299" i="83"/>
  <c r="AB299" i="83"/>
  <c r="AF299" i="83"/>
  <c r="I300" i="83"/>
  <c r="M300" i="83"/>
  <c r="Q300" i="83" s="1"/>
  <c r="U300" i="83"/>
  <c r="J300" i="83"/>
  <c r="L300" i="83"/>
  <c r="P300" i="83"/>
  <c r="T300" i="83"/>
  <c r="W300" i="83"/>
  <c r="X300" i="83" s="1"/>
  <c r="AA300" i="83"/>
  <c r="AB300" i="83"/>
  <c r="AF300" i="83"/>
  <c r="J301" i="83"/>
  <c r="N301" i="83" s="1"/>
  <c r="R301" i="83"/>
  <c r="Q301" i="83"/>
  <c r="U301" i="83"/>
  <c r="Y301" i="83" s="1"/>
  <c r="AC301" i="83" s="1"/>
  <c r="T301" i="83"/>
  <c r="X301" i="83"/>
  <c r="AB301" i="83"/>
  <c r="AF301" i="83"/>
  <c r="J302" i="83"/>
  <c r="N302" i="83"/>
  <c r="R302" i="83" s="1"/>
  <c r="Q302" i="83"/>
  <c r="U302" i="83" s="1"/>
  <c r="T302" i="83"/>
  <c r="W302" i="83"/>
  <c r="X302" i="83"/>
  <c r="AA302" i="83"/>
  <c r="AB302" i="83"/>
  <c r="AF302" i="83"/>
  <c r="AA253" i="81"/>
  <c r="AE253" i="81" s="1"/>
  <c r="AI253" i="81" s="1"/>
  <c r="AM253" i="81" s="1"/>
  <c r="T253" i="81"/>
  <c r="X253" i="81"/>
  <c r="AB253" i="81" s="1"/>
  <c r="AF253" i="81" s="1"/>
  <c r="AJ253" i="81" s="1"/>
  <c r="AN253" i="81" s="1"/>
  <c r="F253" i="81"/>
  <c r="AA252" i="81"/>
  <c r="AE252" i="81"/>
  <c r="AI252" i="81"/>
  <c r="AM252" i="81"/>
  <c r="T252" i="81"/>
  <c r="X252" i="81"/>
  <c r="AB252" i="81"/>
  <c r="AF252" i="81"/>
  <c r="AJ252" i="81" s="1"/>
  <c r="AN252" i="81" s="1"/>
  <c r="AA251" i="81"/>
  <c r="AE251" i="81"/>
  <c r="AI251" i="81" s="1"/>
  <c r="AM251" i="81"/>
  <c r="T251" i="81"/>
  <c r="X251" i="81"/>
  <c r="AB251" i="81" s="1"/>
  <c r="AF251" i="81"/>
  <c r="AJ251" i="81"/>
  <c r="AN251" i="81" s="1"/>
  <c r="F249" i="81"/>
  <c r="AP227" i="81"/>
  <c r="AK227" i="81"/>
  <c r="AG227" i="81"/>
  <c r="AD227" i="81"/>
  <c r="AA227" i="81"/>
  <c r="AE227" i="81" s="1"/>
  <c r="T227" i="81"/>
  <c r="X227" i="81"/>
  <c r="AB227" i="81"/>
  <c r="AF227" i="81" s="1"/>
  <c r="AP226" i="81"/>
  <c r="AL226" i="81"/>
  <c r="AH226" i="81"/>
  <c r="AD226" i="81"/>
  <c r="AA226" i="81"/>
  <c r="AE226" i="81" s="1"/>
  <c r="AI226" i="81"/>
  <c r="AM226" i="81"/>
  <c r="T226" i="81"/>
  <c r="X226" i="81" s="1"/>
  <c r="AB226" i="81" s="1"/>
  <c r="AP225" i="81"/>
  <c r="AK225" i="81"/>
  <c r="AG225" i="81"/>
  <c r="AD225" i="81"/>
  <c r="Z225" i="81"/>
  <c r="V225" i="81"/>
  <c r="S225" i="81"/>
  <c r="W225" i="81"/>
  <c r="AA225" i="81" s="1"/>
  <c r="AE225" i="81" s="1"/>
  <c r="R225" i="81"/>
  <c r="T225" i="81"/>
  <c r="F225" i="81"/>
  <c r="AP224" i="81"/>
  <c r="AL224" i="81"/>
  <c r="AH224" i="81"/>
  <c r="AD224" i="81"/>
  <c r="AA224" i="81"/>
  <c r="AE224" i="81" s="1"/>
  <c r="AI224" i="81"/>
  <c r="AM224" i="81"/>
  <c r="T224" i="81"/>
  <c r="X224" i="81" s="1"/>
  <c r="AB224" i="81" s="1"/>
  <c r="AF224" i="81"/>
  <c r="AP223" i="81"/>
  <c r="AL223" i="81"/>
  <c r="AH223" i="81"/>
  <c r="AD223" i="81"/>
  <c r="Z223" i="81"/>
  <c r="V223" i="81"/>
  <c r="R223" i="81"/>
  <c r="K223" i="81"/>
  <c r="O223" i="81"/>
  <c r="N223" i="81"/>
  <c r="J223" i="81"/>
  <c r="L223" i="81" s="1"/>
  <c r="F223" i="81"/>
  <c r="AP222" i="81"/>
  <c r="AL222" i="81"/>
  <c r="AH222" i="81"/>
  <c r="AD222" i="81"/>
  <c r="AA222" i="81"/>
  <c r="AE222" i="81" s="1"/>
  <c r="AI222" i="81" s="1"/>
  <c r="AM222" i="81" s="1"/>
  <c r="T222" i="81"/>
  <c r="X222" i="81" s="1"/>
  <c r="AB222" i="81" s="1"/>
  <c r="AF222" i="81" s="1"/>
  <c r="AJ222" i="81" s="1"/>
  <c r="AN222" i="81" s="1"/>
  <c r="AP221" i="81"/>
  <c r="AL221" i="81"/>
  <c r="AH221" i="81"/>
  <c r="AD221" i="81"/>
  <c r="AA221" i="81"/>
  <c r="AE221" i="81"/>
  <c r="AI221" i="81" s="1"/>
  <c r="AM221" i="81" s="1"/>
  <c r="T221" i="81"/>
  <c r="X221" i="81"/>
  <c r="AB221" i="81" s="1"/>
  <c r="AF221" i="81" s="1"/>
  <c r="AJ221" i="81" s="1"/>
  <c r="AN221" i="81" s="1"/>
  <c r="AP210" i="81"/>
  <c r="AL210" i="81"/>
  <c r="AH210" i="81"/>
  <c r="AD210" i="81"/>
  <c r="Z210" i="81"/>
  <c r="V210" i="81"/>
  <c r="S210" i="81"/>
  <c r="W210" i="81" s="1"/>
  <c r="AA210" i="81" s="1"/>
  <c r="AE210" i="81" s="1"/>
  <c r="AI210" i="81"/>
  <c r="AM210" i="81" s="1"/>
  <c r="P210" i="81"/>
  <c r="T210" i="81"/>
  <c r="AP208" i="81"/>
  <c r="AL208" i="81"/>
  <c r="AH208" i="81"/>
  <c r="AD208" i="81"/>
  <c r="Z208" i="81"/>
  <c r="V208" i="81"/>
  <c r="S208" i="81"/>
  <c r="W208" i="81"/>
  <c r="AA208" i="81"/>
  <c r="AE208" i="81" s="1"/>
  <c r="AI208" i="81" s="1"/>
  <c r="AM208" i="81" s="1"/>
  <c r="P208" i="81"/>
  <c r="T208" i="81" s="1"/>
  <c r="X208" i="81" s="1"/>
  <c r="AB208" i="81" s="1"/>
  <c r="AF208" i="81" s="1"/>
  <c r="AJ208" i="81" s="1"/>
  <c r="AN208" i="81" s="1"/>
  <c r="AP207" i="81"/>
  <c r="AL207" i="81"/>
  <c r="AH207" i="81"/>
  <c r="AD207" i="81"/>
  <c r="AA207" i="81"/>
  <c r="AE207" i="81"/>
  <c r="AI207" i="81"/>
  <c r="AM207" i="81" s="1"/>
  <c r="AP206" i="81"/>
  <c r="AL206" i="81"/>
  <c r="AH206" i="81"/>
  <c r="AD206" i="81"/>
  <c r="AA206" i="81"/>
  <c r="AE206" i="81"/>
  <c r="AI206" i="81"/>
  <c r="AM206" i="81" s="1"/>
  <c r="D202" i="81"/>
  <c r="F202" i="81" s="1"/>
  <c r="D200" i="81"/>
  <c r="F200" i="81" s="1"/>
  <c r="D192" i="81"/>
  <c r="F190" i="81"/>
  <c r="H184" i="81"/>
  <c r="D184" i="81"/>
  <c r="F184" i="81"/>
  <c r="F182" i="81"/>
  <c r="AP177" i="81"/>
  <c r="AL177" i="81"/>
  <c r="AH177" i="81"/>
  <c r="AD177" i="81"/>
  <c r="AA177" i="81"/>
  <c r="AE177" i="81"/>
  <c r="AI177" i="81" s="1"/>
  <c r="AM177" i="81" s="1"/>
  <c r="T177" i="81"/>
  <c r="X177" i="81"/>
  <c r="AB177" i="81"/>
  <c r="AF177" i="81" s="1"/>
  <c r="AP176" i="81"/>
  <c r="AL176" i="81"/>
  <c r="AH176" i="81"/>
  <c r="AA176" i="81"/>
  <c r="AE176" i="81" s="1"/>
  <c r="AI176" i="81" s="1"/>
  <c r="AM176" i="81"/>
  <c r="AD176" i="81"/>
  <c r="T176" i="81"/>
  <c r="X176" i="81"/>
  <c r="AB176" i="81"/>
  <c r="AF176" i="81" s="1"/>
  <c r="AJ176" i="81" s="1"/>
  <c r="AN176" i="81" s="1"/>
  <c r="F176" i="81"/>
  <c r="AP174" i="81"/>
  <c r="AL174" i="81"/>
  <c r="AA174" i="81"/>
  <c r="AE174" i="81" s="1"/>
  <c r="AI174" i="81" s="1"/>
  <c r="AM174" i="81" s="1"/>
  <c r="AH174" i="81"/>
  <c r="AD174" i="81"/>
  <c r="T174" i="81"/>
  <c r="X174" i="81"/>
  <c r="AB174" i="81"/>
  <c r="F174" i="81"/>
  <c r="AP172" i="81"/>
  <c r="AL172" i="81"/>
  <c r="AH172" i="81"/>
  <c r="AD172" i="81"/>
  <c r="AA172" i="81"/>
  <c r="AE172" i="81"/>
  <c r="AI172" i="81"/>
  <c r="AM172" i="81" s="1"/>
  <c r="T172" i="81"/>
  <c r="X172" i="81"/>
  <c r="AB172" i="81" s="1"/>
  <c r="F172" i="81"/>
  <c r="AP171" i="81"/>
  <c r="AL171" i="81"/>
  <c r="AH171" i="81"/>
  <c r="AD171" i="81"/>
  <c r="AF171" i="81" s="1"/>
  <c r="T171" i="81"/>
  <c r="X171" i="81" s="1"/>
  <c r="AB171" i="81" s="1"/>
  <c r="AA171" i="81"/>
  <c r="AE171" i="81"/>
  <c r="AI171" i="81" s="1"/>
  <c r="AM171" i="81" s="1"/>
  <c r="AP170" i="81"/>
  <c r="AL170" i="81"/>
  <c r="AH170" i="81"/>
  <c r="AD170" i="81"/>
  <c r="AA170" i="81"/>
  <c r="AE170" i="81"/>
  <c r="AI170" i="81" s="1"/>
  <c r="AM170" i="81" s="1"/>
  <c r="T170" i="81"/>
  <c r="X170" i="81"/>
  <c r="AB170" i="81" s="1"/>
  <c r="AF170" i="81" s="1"/>
  <c r="AJ170" i="81" s="1"/>
  <c r="AN170" i="81"/>
  <c r="F170" i="81"/>
  <c r="AP168" i="81"/>
  <c r="AL168" i="81"/>
  <c r="AH168" i="81"/>
  <c r="AJ168" i="81" s="1"/>
  <c r="AN168" i="81" s="1"/>
  <c r="AD168" i="81"/>
  <c r="AA168" i="81"/>
  <c r="AE168" i="81"/>
  <c r="AI168" i="81"/>
  <c r="AM168" i="81" s="1"/>
  <c r="T168" i="81"/>
  <c r="X168" i="81"/>
  <c r="AB168" i="81" s="1"/>
  <c r="AF168" i="81" s="1"/>
  <c r="F168" i="81"/>
  <c r="F166" i="81"/>
  <c r="D162" i="81"/>
  <c r="D158" i="81"/>
  <c r="F158" i="81" s="1"/>
  <c r="AP143" i="81"/>
  <c r="AL143" i="81"/>
  <c r="AH143" i="81"/>
  <c r="AD143" i="81"/>
  <c r="AF143" i="81" s="1"/>
  <c r="AJ143" i="81" s="1"/>
  <c r="AA143" i="81"/>
  <c r="AE143" i="81" s="1"/>
  <c r="AI143" i="81" s="1"/>
  <c r="AM143" i="81" s="1"/>
  <c r="T143" i="81"/>
  <c r="X143" i="81" s="1"/>
  <c r="AB143" i="81" s="1"/>
  <c r="D143" i="81"/>
  <c r="F143" i="81" s="1"/>
  <c r="AP142" i="81"/>
  <c r="AL142" i="81"/>
  <c r="AH142" i="81"/>
  <c r="AD142" i="81"/>
  <c r="AA142" i="81"/>
  <c r="AE142" i="81"/>
  <c r="AI142" i="81" s="1"/>
  <c r="AM142" i="81" s="1"/>
  <c r="T142" i="81"/>
  <c r="X142" i="81"/>
  <c r="AB142" i="81" s="1"/>
  <c r="D142" i="81"/>
  <c r="AP141" i="81"/>
  <c r="AL141" i="81"/>
  <c r="AH141" i="81"/>
  <c r="AD141" i="81"/>
  <c r="AF141" i="81"/>
  <c r="AA141" i="81"/>
  <c r="AE141" i="81" s="1"/>
  <c r="AI141" i="81" s="1"/>
  <c r="AM141" i="81"/>
  <c r="T141" i="81"/>
  <c r="X141" i="81" s="1"/>
  <c r="AB141" i="81" s="1"/>
  <c r="D141" i="81"/>
  <c r="AP140" i="81"/>
  <c r="AL140" i="81"/>
  <c r="AH140" i="81"/>
  <c r="AD140" i="81"/>
  <c r="AF140" i="81" s="1"/>
  <c r="AJ140" i="81" s="1"/>
  <c r="AN140" i="81" s="1"/>
  <c r="AA140" i="81"/>
  <c r="AE140" i="81" s="1"/>
  <c r="AI140" i="81" s="1"/>
  <c r="AM140" i="81"/>
  <c r="T140" i="81"/>
  <c r="X140" i="81" s="1"/>
  <c r="AB140" i="81" s="1"/>
  <c r="D140" i="81"/>
  <c r="AP139" i="81"/>
  <c r="AL139" i="81"/>
  <c r="AH139" i="81"/>
  <c r="AD139" i="81"/>
  <c r="AA139" i="81"/>
  <c r="AE139" i="81" s="1"/>
  <c r="AI139" i="81" s="1"/>
  <c r="AM139" i="81"/>
  <c r="T139" i="81"/>
  <c r="X139" i="81" s="1"/>
  <c r="AB139" i="81" s="1"/>
  <c r="D139" i="81"/>
  <c r="F139" i="81" s="1"/>
  <c r="AP138" i="81"/>
  <c r="AL138" i="81"/>
  <c r="AH138" i="81"/>
  <c r="AD138" i="81"/>
  <c r="AA138" i="81"/>
  <c r="AE138" i="81" s="1"/>
  <c r="AI138" i="81" s="1"/>
  <c r="AM138" i="81"/>
  <c r="T138" i="81"/>
  <c r="X138" i="81" s="1"/>
  <c r="AB138" i="81" s="1"/>
  <c r="D138" i="81"/>
  <c r="AP137" i="81"/>
  <c r="AL137" i="81"/>
  <c r="AH137" i="81"/>
  <c r="AD137" i="81"/>
  <c r="AA137" i="81"/>
  <c r="AE137" i="81" s="1"/>
  <c r="AI137" i="81" s="1"/>
  <c r="AM137" i="81"/>
  <c r="T137" i="81"/>
  <c r="X137" i="81" s="1"/>
  <c r="AB137" i="81" s="1"/>
  <c r="D137" i="81"/>
  <c r="F137" i="81" s="1"/>
  <c r="AP136" i="81"/>
  <c r="AL136" i="81"/>
  <c r="AH136" i="81"/>
  <c r="AD136" i="81"/>
  <c r="AF136" i="81" s="1"/>
  <c r="AJ136" i="81" s="1"/>
  <c r="AA136" i="81"/>
  <c r="AE136" i="81" s="1"/>
  <c r="AI136" i="81" s="1"/>
  <c r="AM136" i="81"/>
  <c r="T136" i="81"/>
  <c r="X136" i="81" s="1"/>
  <c r="AB136" i="81" s="1"/>
  <c r="D136" i="81"/>
  <c r="AP135" i="81"/>
  <c r="AL135" i="81"/>
  <c r="AH135" i="81"/>
  <c r="AD135" i="81"/>
  <c r="AA135" i="81"/>
  <c r="AE135" i="81" s="1"/>
  <c r="AI135" i="81" s="1"/>
  <c r="AM135" i="81"/>
  <c r="T135" i="81"/>
  <c r="X135" i="81" s="1"/>
  <c r="AB135" i="81" s="1"/>
  <c r="AF135" i="81"/>
  <c r="D135" i="81"/>
  <c r="AP134" i="81"/>
  <c r="AL134" i="81"/>
  <c r="AH134" i="81"/>
  <c r="AD134" i="81"/>
  <c r="AA134" i="81"/>
  <c r="AE134" i="81" s="1"/>
  <c r="AI134" i="81" s="1"/>
  <c r="AM134" i="81"/>
  <c r="T134" i="81"/>
  <c r="X134" i="81" s="1"/>
  <c r="AB134" i="81"/>
  <c r="D134" i="81"/>
  <c r="AP133" i="81"/>
  <c r="AL133" i="81"/>
  <c r="AH133" i="81"/>
  <c r="AD133" i="81"/>
  <c r="AA133" i="81"/>
  <c r="AE133" i="81" s="1"/>
  <c r="AI133" i="81" s="1"/>
  <c r="AM133" i="81"/>
  <c r="T133" i="81"/>
  <c r="X133" i="81" s="1"/>
  <c r="AB133" i="81"/>
  <c r="D133" i="81"/>
  <c r="F133" i="81" s="1"/>
  <c r="AP132" i="81"/>
  <c r="AL132" i="81"/>
  <c r="AH132" i="81"/>
  <c r="AD132" i="81"/>
  <c r="AA132" i="81"/>
  <c r="AE132" i="81" s="1"/>
  <c r="AI132" i="81" s="1"/>
  <c r="AM132" i="81" s="1"/>
  <c r="T132" i="81"/>
  <c r="X132" i="81" s="1"/>
  <c r="AB132" i="81"/>
  <c r="D132" i="81"/>
  <c r="AP131" i="81"/>
  <c r="AL131" i="81"/>
  <c r="AH131" i="81"/>
  <c r="AD131" i="81"/>
  <c r="AA131" i="81"/>
  <c r="AE131" i="81" s="1"/>
  <c r="AI131" i="81" s="1"/>
  <c r="AM131" i="81" s="1"/>
  <c r="T131" i="81"/>
  <c r="X131" i="81" s="1"/>
  <c r="AB131" i="81"/>
  <c r="AF131" i="81" s="1"/>
  <c r="D131" i="81"/>
  <c r="F131" i="81" s="1"/>
  <c r="D130" i="81"/>
  <c r="AP129" i="81"/>
  <c r="AL129" i="81"/>
  <c r="AH129" i="81"/>
  <c r="AD129" i="81"/>
  <c r="AA129" i="81"/>
  <c r="AE129" i="81"/>
  <c r="AI129" i="81" s="1"/>
  <c r="AM129" i="81" s="1"/>
  <c r="T129" i="81"/>
  <c r="X129" i="81"/>
  <c r="AB129" i="81"/>
  <c r="D129" i="81"/>
  <c r="F129" i="81" s="1"/>
  <c r="AP128" i="81"/>
  <c r="AL128" i="81"/>
  <c r="AH128" i="81"/>
  <c r="AD128" i="81"/>
  <c r="AA128" i="81"/>
  <c r="AE128" i="81"/>
  <c r="AI128" i="81"/>
  <c r="AM128" i="81" s="1"/>
  <c r="T128" i="81"/>
  <c r="X128" i="81"/>
  <c r="AB128" i="81" s="1"/>
  <c r="D128" i="81"/>
  <c r="AP127" i="81"/>
  <c r="AL127" i="81"/>
  <c r="AN127" i="81" s="1"/>
  <c r="AH127" i="81"/>
  <c r="AD127" i="81"/>
  <c r="AA127" i="81"/>
  <c r="AE127" i="81"/>
  <c r="AI127" i="81" s="1"/>
  <c r="AM127" i="81" s="1"/>
  <c r="T127" i="81"/>
  <c r="X127" i="81"/>
  <c r="AB127" i="81"/>
  <c r="D127" i="81"/>
  <c r="F127" i="81" s="1"/>
  <c r="AP126" i="81"/>
  <c r="AL126" i="81"/>
  <c r="AH126" i="81"/>
  <c r="AD126" i="81"/>
  <c r="AA126" i="81"/>
  <c r="AE126" i="81"/>
  <c r="AI126" i="81"/>
  <c r="AM126" i="81" s="1"/>
  <c r="T126" i="81"/>
  <c r="X126" i="81"/>
  <c r="AB126" i="81" s="1"/>
  <c r="D126" i="81"/>
  <c r="AP125" i="81"/>
  <c r="AL125" i="81"/>
  <c r="AN125" i="81" s="1"/>
  <c r="AH125" i="81"/>
  <c r="AD125" i="81"/>
  <c r="AA125" i="81"/>
  <c r="AE125" i="81"/>
  <c r="AI125" i="81" s="1"/>
  <c r="AM125" i="81" s="1"/>
  <c r="T125" i="81"/>
  <c r="X125" i="81"/>
  <c r="AB125" i="81"/>
  <c r="AF125" i="81" s="1"/>
  <c r="D125" i="81"/>
  <c r="AP124" i="81"/>
  <c r="AL124" i="81"/>
  <c r="AH124" i="81"/>
  <c r="AD124" i="81"/>
  <c r="AA124" i="81"/>
  <c r="AE124" i="81" s="1"/>
  <c r="AI124" i="81" s="1"/>
  <c r="AM124" i="81" s="1"/>
  <c r="T124" i="81"/>
  <c r="X124" i="81" s="1"/>
  <c r="AB124" i="81" s="1"/>
  <c r="AF124" i="81" s="1"/>
  <c r="AJ124" i="81"/>
  <c r="AN124" i="81" s="1"/>
  <c r="D124" i="81"/>
  <c r="AP123" i="81"/>
  <c r="AL123" i="81"/>
  <c r="AH123" i="81"/>
  <c r="AD123" i="81"/>
  <c r="AA123" i="81"/>
  <c r="AE123" i="81"/>
  <c r="AI123" i="81" s="1"/>
  <c r="AM123" i="81" s="1"/>
  <c r="T123" i="81"/>
  <c r="X123" i="81"/>
  <c r="AB123" i="81"/>
  <c r="AF123" i="81" s="1"/>
  <c r="D123" i="81"/>
  <c r="F123" i="81" s="1"/>
  <c r="AP122" i="81"/>
  <c r="AL122" i="81"/>
  <c r="AH122" i="81"/>
  <c r="AD122" i="81"/>
  <c r="AA122" i="81"/>
  <c r="AE122" i="81" s="1"/>
  <c r="AI122" i="81"/>
  <c r="AM122" i="81" s="1"/>
  <c r="T122" i="81"/>
  <c r="X122" i="81" s="1"/>
  <c r="AB122" i="81" s="1"/>
  <c r="AF122" i="81" s="1"/>
  <c r="AJ122" i="81" s="1"/>
  <c r="AN122" i="81" s="1"/>
  <c r="D122" i="81"/>
  <c r="AP121" i="81"/>
  <c r="AL121" i="81"/>
  <c r="AH121" i="81"/>
  <c r="AD121" i="81"/>
  <c r="AA121" i="81"/>
  <c r="AE121" i="81"/>
  <c r="AI121" i="81"/>
  <c r="AM121" i="81" s="1"/>
  <c r="T121" i="81"/>
  <c r="X121" i="81"/>
  <c r="AB121" i="81" s="1"/>
  <c r="AF121" i="81" s="1"/>
  <c r="AJ121" i="81" s="1"/>
  <c r="AN121" i="81" s="1"/>
  <c r="D121" i="81"/>
  <c r="AP120" i="81"/>
  <c r="AL120" i="81"/>
  <c r="AH120" i="81"/>
  <c r="AA120" i="81"/>
  <c r="AE120" i="81"/>
  <c r="AI120" i="81"/>
  <c r="AM120" i="81" s="1"/>
  <c r="AD120" i="81"/>
  <c r="T120" i="81"/>
  <c r="X120" i="81" s="1"/>
  <c r="AB120" i="81" s="1"/>
  <c r="D120" i="81"/>
  <c r="AP119" i="81"/>
  <c r="AL119" i="81"/>
  <c r="AN119" i="81" s="1"/>
  <c r="AH119" i="81"/>
  <c r="AD119" i="81"/>
  <c r="AA119" i="81"/>
  <c r="AE119" i="81"/>
  <c r="AI119" i="81" s="1"/>
  <c r="AM119" i="81" s="1"/>
  <c r="T119" i="81"/>
  <c r="X119" i="81"/>
  <c r="AB119" i="81" s="1"/>
  <c r="D119" i="81"/>
  <c r="F119" i="81" s="1"/>
  <c r="AP118" i="81"/>
  <c r="AL118" i="81"/>
  <c r="AH118" i="81"/>
  <c r="AD118" i="81"/>
  <c r="AA118" i="81"/>
  <c r="AE118" i="81" s="1"/>
  <c r="AI118" i="81" s="1"/>
  <c r="AM118" i="81" s="1"/>
  <c r="T118" i="81"/>
  <c r="X118" i="81" s="1"/>
  <c r="AB118" i="81" s="1"/>
  <c r="D118" i="81"/>
  <c r="AP117" i="81"/>
  <c r="AL117" i="81"/>
  <c r="AH117" i="81"/>
  <c r="AD117" i="81"/>
  <c r="AA117" i="81"/>
  <c r="AE117" i="81" s="1"/>
  <c r="AI117" i="81" s="1"/>
  <c r="AM117" i="81" s="1"/>
  <c r="T117" i="81"/>
  <c r="X117" i="81" s="1"/>
  <c r="AB117" i="81" s="1"/>
  <c r="AF117" i="81" s="1"/>
  <c r="AJ117" i="81" s="1"/>
  <c r="D117" i="81"/>
  <c r="F117" i="81" s="1"/>
  <c r="AP116" i="81"/>
  <c r="AL116" i="81"/>
  <c r="AH116" i="81"/>
  <c r="AD116" i="81"/>
  <c r="AA116" i="81"/>
  <c r="AE116" i="81" s="1"/>
  <c r="AI116" i="81" s="1"/>
  <c r="AM116" i="81" s="1"/>
  <c r="T116" i="81"/>
  <c r="X116" i="81" s="1"/>
  <c r="AB116" i="81" s="1"/>
  <c r="AF116" i="81" s="1"/>
  <c r="D116" i="81"/>
  <c r="AP115" i="81"/>
  <c r="AL115" i="81"/>
  <c r="AH115" i="81"/>
  <c r="AD115" i="81"/>
  <c r="AA115" i="81"/>
  <c r="AE115" i="81" s="1"/>
  <c r="AI115" i="81"/>
  <c r="AM115" i="81" s="1"/>
  <c r="T115" i="81"/>
  <c r="X115" i="81" s="1"/>
  <c r="AB115" i="81" s="1"/>
  <c r="AF115" i="81"/>
  <c r="D115" i="81"/>
  <c r="D114" i="81"/>
  <c r="AP113" i="81"/>
  <c r="AL113" i="81"/>
  <c r="AH113" i="81"/>
  <c r="AD113" i="81"/>
  <c r="Z113" i="81"/>
  <c r="V113" i="81"/>
  <c r="R113" i="81"/>
  <c r="N113" i="81"/>
  <c r="K113" i="81"/>
  <c r="O113" i="81"/>
  <c r="J113" i="81"/>
  <c r="L113" i="81"/>
  <c r="D113" i="81"/>
  <c r="F113" i="81" s="1"/>
  <c r="AP112" i="81"/>
  <c r="AL112" i="81"/>
  <c r="AH112" i="81"/>
  <c r="AD112" i="81"/>
  <c r="AA112" i="81"/>
  <c r="AE112" i="81" s="1"/>
  <c r="AI112" i="81" s="1"/>
  <c r="AM112" i="81" s="1"/>
  <c r="T112" i="81"/>
  <c r="X112" i="81" s="1"/>
  <c r="AB112" i="81"/>
  <c r="D112" i="81"/>
  <c r="AP111" i="81"/>
  <c r="AL111" i="81"/>
  <c r="AH111" i="81"/>
  <c r="AD111" i="81"/>
  <c r="Z111" i="81"/>
  <c r="V111" i="81"/>
  <c r="R111" i="81"/>
  <c r="N111" i="81"/>
  <c r="K111" i="81"/>
  <c r="O111" i="81" s="1"/>
  <c r="J111" i="81"/>
  <c r="L111" i="81"/>
  <c r="D111" i="81"/>
  <c r="F111" i="81" s="1"/>
  <c r="AP110" i="81"/>
  <c r="AL110" i="81"/>
  <c r="AH110" i="81"/>
  <c r="AD110" i="81"/>
  <c r="AA110" i="81"/>
  <c r="AE110" i="81"/>
  <c r="AI110" i="81"/>
  <c r="AM110" i="81" s="1"/>
  <c r="T110" i="81"/>
  <c r="X110" i="81"/>
  <c r="AB110" i="81"/>
  <c r="D110" i="81"/>
  <c r="AP109" i="81"/>
  <c r="AL109" i="81"/>
  <c r="AH109" i="81"/>
  <c r="AD109" i="81"/>
  <c r="AA109" i="81"/>
  <c r="AE109" i="81"/>
  <c r="AI109" i="81"/>
  <c r="AM109" i="81" s="1"/>
  <c r="T109" i="81"/>
  <c r="X109" i="81"/>
  <c r="AB109" i="81"/>
  <c r="AF109" i="81" s="1"/>
  <c r="D109" i="81"/>
  <c r="AP108" i="81"/>
  <c r="AL108" i="81"/>
  <c r="AH108" i="81"/>
  <c r="AD108" i="81"/>
  <c r="T108" i="81"/>
  <c r="X108" i="81"/>
  <c r="AB108" i="81" s="1"/>
  <c r="AA108" i="81"/>
  <c r="AE108" i="81"/>
  <c r="AI108" i="81"/>
  <c r="AM108" i="81" s="1"/>
  <c r="D108" i="81"/>
  <c r="AP107" i="81"/>
  <c r="AL107" i="81"/>
  <c r="AH107" i="81"/>
  <c r="AD107" i="81"/>
  <c r="T107" i="81"/>
  <c r="X107" i="81"/>
  <c r="AB107" i="81" s="1"/>
  <c r="AA107" i="81"/>
  <c r="AE107" i="81"/>
  <c r="AI107" i="81"/>
  <c r="AM107" i="81" s="1"/>
  <c r="D107" i="81"/>
  <c r="F107" i="81" s="1"/>
  <c r="AP106" i="81"/>
  <c r="AL106" i="81"/>
  <c r="AH106" i="81"/>
  <c r="AD106" i="81"/>
  <c r="AA106" i="81"/>
  <c r="AE106" i="81"/>
  <c r="AI106" i="81" s="1"/>
  <c r="AM106" i="81" s="1"/>
  <c r="T106" i="81"/>
  <c r="X106" i="81" s="1"/>
  <c r="AB106" i="81" s="1"/>
  <c r="D106" i="81"/>
  <c r="AP105" i="81"/>
  <c r="AL105" i="81"/>
  <c r="AH105" i="81"/>
  <c r="AD105" i="81"/>
  <c r="AA105" i="81"/>
  <c r="AE105" i="81"/>
  <c r="AI105" i="81" s="1"/>
  <c r="AM105" i="81" s="1"/>
  <c r="T105" i="81"/>
  <c r="X105" i="81" s="1"/>
  <c r="AB105" i="81" s="1"/>
  <c r="AF105" i="81" s="1"/>
  <c r="AJ105" i="81" s="1"/>
  <c r="D105" i="81"/>
  <c r="F105" i="81" s="1"/>
  <c r="AP104" i="81"/>
  <c r="AL104" i="81"/>
  <c r="AH104" i="81"/>
  <c r="AD104" i="81"/>
  <c r="AA104" i="81"/>
  <c r="AE104" i="81"/>
  <c r="AI104" i="81" s="1"/>
  <c r="AM104" i="81" s="1"/>
  <c r="T104" i="81"/>
  <c r="X104" i="81" s="1"/>
  <c r="AB104" i="81" s="1"/>
  <c r="AF104" i="81" s="1"/>
  <c r="AJ104" i="81" s="1"/>
  <c r="AN104" i="81" s="1"/>
  <c r="AP103" i="81"/>
  <c r="AL103" i="81"/>
  <c r="AH103" i="81"/>
  <c r="AA103" i="81"/>
  <c r="AE103" i="81"/>
  <c r="AI103" i="81" s="1"/>
  <c r="AM103" i="81" s="1"/>
  <c r="AD103" i="81"/>
  <c r="T103" i="81"/>
  <c r="X103" i="81" s="1"/>
  <c r="AB103" i="81" s="1"/>
  <c r="AP102" i="81"/>
  <c r="AL102" i="81"/>
  <c r="AH102" i="81"/>
  <c r="AD102" i="81"/>
  <c r="AA102" i="81"/>
  <c r="AE102" i="81"/>
  <c r="AI102" i="81" s="1"/>
  <c r="AM102" i="81"/>
  <c r="T102" i="81"/>
  <c r="X102" i="81"/>
  <c r="AB102" i="81" s="1"/>
  <c r="AF102" i="81"/>
  <c r="AP101" i="81"/>
  <c r="AL101" i="81"/>
  <c r="AH101" i="81"/>
  <c r="AD101" i="81"/>
  <c r="AA101" i="81"/>
  <c r="AE101" i="81" s="1"/>
  <c r="AI101" i="81" s="1"/>
  <c r="AM101" i="81" s="1"/>
  <c r="T101" i="81"/>
  <c r="X101" i="81"/>
  <c r="AB101" i="81" s="1"/>
  <c r="F100" i="81"/>
  <c r="F98" i="81"/>
  <c r="F96" i="81"/>
  <c r="F94" i="81"/>
  <c r="AP90" i="81"/>
  <c r="AL90" i="81"/>
  <c r="AH90" i="81"/>
  <c r="AD90" i="81"/>
  <c r="Z90" i="81"/>
  <c r="V90" i="81"/>
  <c r="S90" i="81"/>
  <c r="W90" i="81" s="1"/>
  <c r="AA90" i="81"/>
  <c r="AE90" i="81" s="1"/>
  <c r="AI90" i="81"/>
  <c r="AM90" i="81" s="1"/>
  <c r="R90" i="81"/>
  <c r="T90" i="81"/>
  <c r="D90" i="81"/>
  <c r="D241" i="81" s="1"/>
  <c r="F241" i="81" s="1"/>
  <c r="AP89" i="81"/>
  <c r="AL89" i="81"/>
  <c r="AH89" i="81"/>
  <c r="AD89" i="81"/>
  <c r="AA89" i="81"/>
  <c r="AE89" i="81"/>
  <c r="AI89" i="81"/>
  <c r="AM89" i="81" s="1"/>
  <c r="T89" i="81"/>
  <c r="X89" i="81"/>
  <c r="AB89" i="81"/>
  <c r="AF89" i="81" s="1"/>
  <c r="D89" i="81"/>
  <c r="AP88" i="81"/>
  <c r="AL88" i="81"/>
  <c r="AH88" i="81"/>
  <c r="AD88" i="81"/>
  <c r="AA88" i="81"/>
  <c r="AE88" i="81"/>
  <c r="AI88" i="81" s="1"/>
  <c r="AM88" i="81" s="1"/>
  <c r="Z88" i="81"/>
  <c r="T88" i="81"/>
  <c r="X88" i="81"/>
  <c r="D88" i="81"/>
  <c r="D239" i="81" s="1"/>
  <c r="F239" i="81" s="1"/>
  <c r="AP87" i="81"/>
  <c r="AL87" i="81"/>
  <c r="AH87" i="81"/>
  <c r="AD87" i="81"/>
  <c r="AA87" i="81"/>
  <c r="AE87" i="81"/>
  <c r="AI87" i="81" s="1"/>
  <c r="AM87" i="81" s="1"/>
  <c r="T87" i="81"/>
  <c r="X87" i="81" s="1"/>
  <c r="AB87" i="81" s="1"/>
  <c r="AF87" i="81" s="1"/>
  <c r="AJ87" i="81" s="1"/>
  <c r="D87" i="81"/>
  <c r="AP86" i="81"/>
  <c r="AL86" i="81"/>
  <c r="AH86" i="81"/>
  <c r="AD86" i="81"/>
  <c r="AA86" i="81"/>
  <c r="AE86" i="81"/>
  <c r="AI86" i="81"/>
  <c r="AM86" i="81" s="1"/>
  <c r="T86" i="81"/>
  <c r="X86" i="81"/>
  <c r="AB86" i="81"/>
  <c r="AF86" i="81" s="1"/>
  <c r="AJ86" i="81" s="1"/>
  <c r="AN86" i="81" s="1"/>
  <c r="D86" i="81"/>
  <c r="D237" i="81" s="1"/>
  <c r="F237" i="81" s="1"/>
  <c r="AP85" i="81"/>
  <c r="AL85" i="81"/>
  <c r="AH85" i="81"/>
  <c r="AD85" i="81"/>
  <c r="AA85" i="81"/>
  <c r="AE85" i="81"/>
  <c r="AI85" i="81" s="1"/>
  <c r="AM85" i="81" s="1"/>
  <c r="T85" i="81"/>
  <c r="X85" i="81" s="1"/>
  <c r="AB85" i="81" s="1"/>
  <c r="AF85" i="81" s="1"/>
  <c r="AJ85" i="81" s="1"/>
  <c r="D85" i="81"/>
  <c r="AP84" i="81"/>
  <c r="AL84" i="81"/>
  <c r="AH84" i="81"/>
  <c r="AD84" i="81"/>
  <c r="Z84" i="81"/>
  <c r="V84" i="81"/>
  <c r="R84" i="81"/>
  <c r="N84" i="81"/>
  <c r="K84" i="81"/>
  <c r="O84" i="81" s="1"/>
  <c r="S84" i="81" s="1"/>
  <c r="W84" i="81" s="1"/>
  <c r="AA84" i="81" s="1"/>
  <c r="AE84" i="81" s="1"/>
  <c r="AI84" i="81" s="1"/>
  <c r="AM84" i="81" s="1"/>
  <c r="J84" i="81"/>
  <c r="L84" i="81" s="1"/>
  <c r="D84" i="81"/>
  <c r="D235" i="81" s="1"/>
  <c r="F235" i="81" s="1"/>
  <c r="AP83" i="81"/>
  <c r="AL83" i="81"/>
  <c r="AH83" i="81"/>
  <c r="AD83" i="81"/>
  <c r="AA83" i="81"/>
  <c r="AE83" i="81"/>
  <c r="AI83" i="81" s="1"/>
  <c r="AM83" i="81" s="1"/>
  <c r="T83" i="81"/>
  <c r="X83" i="81" s="1"/>
  <c r="AB83" i="81"/>
  <c r="AF83" i="81" s="1"/>
  <c r="AJ83" i="81" s="1"/>
  <c r="AN83" i="81" s="1"/>
  <c r="D83" i="81"/>
  <c r="AP82" i="81"/>
  <c r="AL82" i="81"/>
  <c r="AH82" i="81"/>
  <c r="AJ82" i="81" s="1"/>
  <c r="AN82" i="81" s="1"/>
  <c r="AD82" i="81"/>
  <c r="Z82" i="81"/>
  <c r="V82" i="81"/>
  <c r="R82" i="81"/>
  <c r="T82" i="81" s="1"/>
  <c r="X82" i="81" s="1"/>
  <c r="AB82" i="81" s="1"/>
  <c r="AF82" i="81" s="1"/>
  <c r="N82" i="81"/>
  <c r="K82" i="81"/>
  <c r="O82" i="81" s="1"/>
  <c r="S82" i="81"/>
  <c r="W82" i="81" s="1"/>
  <c r="AA82" i="81" s="1"/>
  <c r="AE82" i="81"/>
  <c r="AI82" i="81" s="1"/>
  <c r="AM82" i="81" s="1"/>
  <c r="J82" i="81"/>
  <c r="L82" i="81" s="1"/>
  <c r="P82" i="81" s="1"/>
  <c r="D82" i="81"/>
  <c r="F82" i="81" s="1"/>
  <c r="AP81" i="81"/>
  <c r="AL81" i="81"/>
  <c r="AH81" i="81"/>
  <c r="AD81" i="81"/>
  <c r="AA81" i="81"/>
  <c r="AE81" i="81" s="1"/>
  <c r="AI81" i="81" s="1"/>
  <c r="AM81" i="81" s="1"/>
  <c r="T81" i="81"/>
  <c r="X81" i="81"/>
  <c r="AB81" i="81" s="1"/>
  <c r="AP80" i="81"/>
  <c r="AL80" i="81"/>
  <c r="AH80" i="81"/>
  <c r="AD80" i="81"/>
  <c r="AA80" i="81"/>
  <c r="AE80" i="81"/>
  <c r="AI80" i="81"/>
  <c r="AM80" i="81" s="1"/>
  <c r="T80" i="81"/>
  <c r="X80" i="81"/>
  <c r="AB80" i="81"/>
  <c r="AF80" i="81" s="1"/>
  <c r="F77" i="81"/>
  <c r="E66" i="81"/>
  <c r="F66" i="81"/>
  <c r="E55" i="81"/>
  <c r="F55" i="81" s="1"/>
  <c r="E53" i="81"/>
  <c r="F53" i="81"/>
  <c r="E51" i="81"/>
  <c r="F51" i="81" s="1"/>
  <c r="E49" i="81"/>
  <c r="F49" i="81"/>
  <c r="F47" i="81"/>
  <c r="AA45" i="81"/>
  <c r="AE45" i="81" s="1"/>
  <c r="AI45" i="81" s="1"/>
  <c r="AM45" i="81" s="1"/>
  <c r="T45" i="81"/>
  <c r="X45" i="81" s="1"/>
  <c r="AB45" i="81"/>
  <c r="AF45" i="81" s="1"/>
  <c r="AJ45" i="81" s="1"/>
  <c r="E45" i="81"/>
  <c r="AL45" i="81" s="1"/>
  <c r="AP44" i="81"/>
  <c r="AL44" i="81"/>
  <c r="AH44" i="81"/>
  <c r="AA44" i="81"/>
  <c r="AE44" i="81" s="1"/>
  <c r="AI44" i="81"/>
  <c r="AM44" i="81"/>
  <c r="AD44" i="81"/>
  <c r="AF44" i="81" s="1"/>
  <c r="T44" i="81"/>
  <c r="X44" i="81"/>
  <c r="AB44" i="81"/>
  <c r="Z43" i="81"/>
  <c r="V43" i="81"/>
  <c r="S43" i="81"/>
  <c r="W43" i="81"/>
  <c r="AA43" i="81"/>
  <c r="AE43" i="81" s="1"/>
  <c r="AI43" i="81" s="1"/>
  <c r="AM43" i="81" s="1"/>
  <c r="E43" i="81"/>
  <c r="AP43" i="81" s="1"/>
  <c r="AP42" i="81"/>
  <c r="AL42" i="81"/>
  <c r="AH42" i="81"/>
  <c r="AD42" i="81"/>
  <c r="T42" i="81"/>
  <c r="X42" i="81" s="1"/>
  <c r="AB42" i="81"/>
  <c r="AF42" i="81" s="1"/>
  <c r="AJ42" i="81" s="1"/>
  <c r="AN42" i="81" s="1"/>
  <c r="O42" i="81"/>
  <c r="S42" i="81"/>
  <c r="W42" i="81" s="1"/>
  <c r="AA42" i="81"/>
  <c r="AE42" i="81" s="1"/>
  <c r="AI42" i="81"/>
  <c r="Z41" i="81"/>
  <c r="V41" i="81"/>
  <c r="O41" i="81"/>
  <c r="E41" i="81"/>
  <c r="P41" i="81" s="1"/>
  <c r="AP40" i="81"/>
  <c r="AL40" i="81"/>
  <c r="AH40" i="81"/>
  <c r="AD40" i="81"/>
  <c r="Z40" i="81"/>
  <c r="V40" i="81"/>
  <c r="R40" i="81"/>
  <c r="T40" i="81" s="1"/>
  <c r="O40" i="81"/>
  <c r="P40" i="81" s="1"/>
  <c r="N40" i="81"/>
  <c r="E39" i="81"/>
  <c r="AL39" i="81"/>
  <c r="Z39" i="81"/>
  <c r="V39" i="81"/>
  <c r="O39" i="81"/>
  <c r="S39" i="81"/>
  <c r="W39" i="81"/>
  <c r="AA39" i="81" s="1"/>
  <c r="AE39" i="81" s="1"/>
  <c r="AI39" i="81" s="1"/>
  <c r="AM39" i="81" s="1"/>
  <c r="AP38" i="81"/>
  <c r="AL38" i="81"/>
  <c r="AH38" i="81"/>
  <c r="AD38" i="81"/>
  <c r="Z38" i="81"/>
  <c r="V38" i="81"/>
  <c r="R38" i="81"/>
  <c r="O38" i="81"/>
  <c r="N38" i="81"/>
  <c r="V37" i="81"/>
  <c r="O37" i="81"/>
  <c r="S37" i="81" s="1"/>
  <c r="W37" i="81" s="1"/>
  <c r="AA37" i="81" s="1"/>
  <c r="AE37" i="81" s="1"/>
  <c r="AI37" i="81" s="1"/>
  <c r="AM37" i="81" s="1"/>
  <c r="E37" i="81"/>
  <c r="AH37" i="81" s="1"/>
  <c r="AP36" i="81"/>
  <c r="AL36" i="81"/>
  <c r="AH36" i="81"/>
  <c r="AD36" i="81"/>
  <c r="Z36" i="81"/>
  <c r="V36" i="81"/>
  <c r="O36" i="81"/>
  <c r="S36" i="81" s="1"/>
  <c r="W36" i="81"/>
  <c r="AA36" i="81" s="1"/>
  <c r="AE36" i="81" s="1"/>
  <c r="AI36" i="81" s="1"/>
  <c r="AM36" i="81" s="1"/>
  <c r="R36" i="81"/>
  <c r="P36" i="81"/>
  <c r="T36" i="81" s="1"/>
  <c r="X36" i="81" s="1"/>
  <c r="AB36" i="81" s="1"/>
  <c r="AF36" i="81" s="1"/>
  <c r="N36" i="81"/>
  <c r="Z35" i="81"/>
  <c r="V35" i="81"/>
  <c r="R35" i="81"/>
  <c r="T35" i="81" s="1"/>
  <c r="X35" i="81" s="1"/>
  <c r="AB35" i="81" s="1"/>
  <c r="AF35" i="81" s="1"/>
  <c r="AJ35" i="81" s="1"/>
  <c r="O35" i="81"/>
  <c r="E35" i="81"/>
  <c r="AH35" i="81"/>
  <c r="N35" i="81"/>
  <c r="AP34" i="81"/>
  <c r="AL34" i="81"/>
  <c r="AA34" i="81"/>
  <c r="AE34" i="81"/>
  <c r="AI34" i="81" s="1"/>
  <c r="AM34" i="81" s="1"/>
  <c r="AH34" i="81"/>
  <c r="AD34" i="81"/>
  <c r="T34" i="81"/>
  <c r="X34" i="81"/>
  <c r="AB34" i="81" s="1"/>
  <c r="AA33" i="81"/>
  <c r="AE33" i="81" s="1"/>
  <c r="AI33" i="81"/>
  <c r="AM33" i="81"/>
  <c r="T33" i="81"/>
  <c r="X33" i="81" s="1"/>
  <c r="AB33" i="81"/>
  <c r="E33" i="81"/>
  <c r="AH33" i="81"/>
  <c r="AP32" i="81"/>
  <c r="AL32" i="81"/>
  <c r="AH32" i="81"/>
  <c r="AD32" i="81"/>
  <c r="AA32" i="81"/>
  <c r="AE32" i="81"/>
  <c r="AI32" i="81" s="1"/>
  <c r="AM32" i="81" s="1"/>
  <c r="T32" i="81"/>
  <c r="X32" i="81" s="1"/>
  <c r="AB32" i="81" s="1"/>
  <c r="AF32" i="81" s="1"/>
  <c r="AJ32" i="81" s="1"/>
  <c r="AN32" i="81"/>
  <c r="E31" i="81"/>
  <c r="AP31" i="81"/>
  <c r="AA31" i="81"/>
  <c r="AE31" i="81"/>
  <c r="AI31" i="81" s="1"/>
  <c r="AM31" i="81" s="1"/>
  <c r="T31" i="81"/>
  <c r="X31" i="81" s="1"/>
  <c r="AB31" i="81" s="1"/>
  <c r="AH31" i="81"/>
  <c r="F24" i="81"/>
  <c r="F22" i="81"/>
  <c r="F20" i="81"/>
  <c r="D14" i="81"/>
  <c r="D198" i="81" s="1"/>
  <c r="F198" i="81" s="1"/>
  <c r="AA258" i="82"/>
  <c r="AE258" i="82"/>
  <c r="AI258" i="82" s="1"/>
  <c r="AM258" i="82" s="1"/>
  <c r="T258" i="82"/>
  <c r="X258" i="82"/>
  <c r="AB258" i="82"/>
  <c r="AF258" i="82" s="1"/>
  <c r="AJ258" i="82" s="1"/>
  <c r="AN258" i="82" s="1"/>
  <c r="F258" i="82"/>
  <c r="AA257" i="82"/>
  <c r="AE257" i="82"/>
  <c r="AI257" i="82" s="1"/>
  <c r="AM257" i="82" s="1"/>
  <c r="T257" i="82"/>
  <c r="X257" i="82"/>
  <c r="AB257" i="82" s="1"/>
  <c r="AF257" i="82"/>
  <c r="AJ257" i="82" s="1"/>
  <c r="AN257" i="82" s="1"/>
  <c r="AA256" i="82"/>
  <c r="AE256" i="82"/>
  <c r="AI256" i="82" s="1"/>
  <c r="AM256" i="82"/>
  <c r="T256" i="82"/>
  <c r="X256" i="82" s="1"/>
  <c r="AB256" i="82" s="1"/>
  <c r="AF256" i="82" s="1"/>
  <c r="AJ256" i="82"/>
  <c r="AN256" i="82" s="1"/>
  <c r="F254" i="82"/>
  <c r="AP232" i="82"/>
  <c r="AK232" i="82"/>
  <c r="AG232" i="82"/>
  <c r="AD232" i="82"/>
  <c r="AA232" i="82"/>
  <c r="AE232" i="82"/>
  <c r="T232" i="82"/>
  <c r="X232" i="82" s="1"/>
  <c r="AB232" i="82" s="1"/>
  <c r="AF232" i="82" s="1"/>
  <c r="AJ232" i="82"/>
  <c r="AP231" i="82"/>
  <c r="AL231" i="82"/>
  <c r="AH231" i="82"/>
  <c r="AD231" i="82"/>
  <c r="AA231" i="82"/>
  <c r="AE231" i="82"/>
  <c r="AI231" i="82"/>
  <c r="AM231" i="82"/>
  <c r="T231" i="82"/>
  <c r="X231" i="82"/>
  <c r="AB231" i="82"/>
  <c r="AF231" i="82"/>
  <c r="AP230" i="82"/>
  <c r="AK230" i="82"/>
  <c r="AG230" i="82"/>
  <c r="AD230" i="82"/>
  <c r="Z230" i="82"/>
  <c r="V230" i="82"/>
  <c r="S230" i="82"/>
  <c r="W230" i="82"/>
  <c r="AA230" i="82" s="1"/>
  <c r="AE230" i="82" s="1"/>
  <c r="AI230" i="82" s="1"/>
  <c r="AM230" i="82" s="1"/>
  <c r="R230" i="82"/>
  <c r="T230" i="82"/>
  <c r="F230" i="82"/>
  <c r="AP229" i="82"/>
  <c r="AL229" i="82"/>
  <c r="AH229" i="82"/>
  <c r="AD229" i="82"/>
  <c r="AA229" i="82"/>
  <c r="AE229" i="82" s="1"/>
  <c r="AI229" i="82"/>
  <c r="AM229" i="82" s="1"/>
  <c r="T229" i="82"/>
  <c r="X229" i="82"/>
  <c r="AB229" i="82"/>
  <c r="AF229" i="82" s="1"/>
  <c r="AJ229" i="82" s="1"/>
  <c r="AN229" i="82" s="1"/>
  <c r="AP228" i="82"/>
  <c r="AL228" i="82"/>
  <c r="AH228" i="82"/>
  <c r="AD228" i="82"/>
  <c r="Z228" i="82"/>
  <c r="V228" i="82"/>
  <c r="R228" i="82"/>
  <c r="K228" i="82"/>
  <c r="O228" i="82" s="1"/>
  <c r="P228" i="82" s="1"/>
  <c r="T228" i="82" s="1"/>
  <c r="X228" i="82" s="1"/>
  <c r="AB228" i="82" s="1"/>
  <c r="N228" i="82"/>
  <c r="J228" i="82"/>
  <c r="L228" i="82"/>
  <c r="F228" i="82"/>
  <c r="AP227" i="82"/>
  <c r="AL227" i="82"/>
  <c r="AH227" i="82"/>
  <c r="AJ227" i="82" s="1"/>
  <c r="AD227" i="82"/>
  <c r="AA227" i="82"/>
  <c r="AE227" i="82"/>
  <c r="AI227" i="82"/>
  <c r="AM227" i="82" s="1"/>
  <c r="T227" i="82"/>
  <c r="X227" i="82"/>
  <c r="AB227" i="82"/>
  <c r="AF227" i="82" s="1"/>
  <c r="AP226" i="82"/>
  <c r="AL226" i="82"/>
  <c r="AH226" i="82"/>
  <c r="AD226" i="82"/>
  <c r="AA226" i="82"/>
  <c r="AE226" i="82" s="1"/>
  <c r="AI226" i="82" s="1"/>
  <c r="AM226" i="82"/>
  <c r="T226" i="82"/>
  <c r="X226" i="82" s="1"/>
  <c r="AB226" i="82" s="1"/>
  <c r="AF226" i="82" s="1"/>
  <c r="AP215" i="82"/>
  <c r="AL215" i="82"/>
  <c r="AH215" i="82"/>
  <c r="AD215" i="82"/>
  <c r="Z215" i="82"/>
  <c r="V215" i="82"/>
  <c r="X215" i="82" s="1"/>
  <c r="AB215" i="82" s="1"/>
  <c r="AF215" i="82" s="1"/>
  <c r="AJ215" i="82" s="1"/>
  <c r="S215" i="82"/>
  <c r="W215" i="82" s="1"/>
  <c r="AA215" i="82" s="1"/>
  <c r="AE215" i="82" s="1"/>
  <c r="AI215" i="82" s="1"/>
  <c r="AM215" i="82" s="1"/>
  <c r="P215" i="82"/>
  <c r="T215" i="82"/>
  <c r="AP213" i="82"/>
  <c r="AL213" i="82"/>
  <c r="AH213" i="82"/>
  <c r="S213" i="82"/>
  <c r="W213" i="82" s="1"/>
  <c r="AA213" i="82" s="1"/>
  <c r="AE213" i="82" s="1"/>
  <c r="AI213" i="82" s="1"/>
  <c r="AM213" i="82" s="1"/>
  <c r="AD213" i="82"/>
  <c r="Z213" i="82"/>
  <c r="V213" i="82"/>
  <c r="X213" i="82" s="1"/>
  <c r="AB213" i="82" s="1"/>
  <c r="AF213" i="82" s="1"/>
  <c r="AJ213" i="82" s="1"/>
  <c r="AN213" i="82" s="1"/>
  <c r="P213" i="82"/>
  <c r="T213" i="82" s="1"/>
  <c r="AP212" i="82"/>
  <c r="AL212" i="82"/>
  <c r="AH212" i="82"/>
  <c r="AD212" i="82"/>
  <c r="AA212" i="82"/>
  <c r="AE212" i="82"/>
  <c r="AI212" i="82" s="1"/>
  <c r="AM212" i="82" s="1"/>
  <c r="AP211" i="82"/>
  <c r="AL211" i="82"/>
  <c r="AH211" i="82"/>
  <c r="AD211" i="82"/>
  <c r="AA211" i="82"/>
  <c r="AE211" i="82"/>
  <c r="AI211" i="82" s="1"/>
  <c r="AM211" i="82" s="1"/>
  <c r="D207" i="82"/>
  <c r="F207" i="82" s="1"/>
  <c r="D205" i="82"/>
  <c r="F205" i="82" s="1"/>
  <c r="D197" i="82"/>
  <c r="F195" i="82"/>
  <c r="H189" i="82"/>
  <c r="D189" i="82"/>
  <c r="F189" i="82" s="1"/>
  <c r="F187" i="82"/>
  <c r="AP182" i="82"/>
  <c r="AL182" i="82"/>
  <c r="AH182" i="82"/>
  <c r="AD182" i="82"/>
  <c r="AA182" i="82"/>
  <c r="AE182" i="82"/>
  <c r="AI182" i="82" s="1"/>
  <c r="AM182" i="82" s="1"/>
  <c r="T182" i="82"/>
  <c r="X182" i="82"/>
  <c r="AB182" i="82" s="1"/>
  <c r="AF182" i="82" s="1"/>
  <c r="AJ182" i="82" s="1"/>
  <c r="AN182" i="82" s="1"/>
  <c r="AP181" i="82"/>
  <c r="AL181" i="82"/>
  <c r="AH181" i="82"/>
  <c r="AJ181" i="82" s="1"/>
  <c r="AN181" i="82" s="1"/>
  <c r="AD181" i="82"/>
  <c r="AA181" i="82"/>
  <c r="AE181" i="82"/>
  <c r="AI181" i="82"/>
  <c r="AM181" i="82" s="1"/>
  <c r="T181" i="82"/>
  <c r="X181" i="82"/>
  <c r="AB181" i="82"/>
  <c r="AF181" i="82" s="1"/>
  <c r="F181" i="82"/>
  <c r="AP179" i="82"/>
  <c r="AL179" i="82"/>
  <c r="AH179" i="82"/>
  <c r="AD179" i="82"/>
  <c r="AA179" i="82"/>
  <c r="AE179" i="82"/>
  <c r="AI179" i="82" s="1"/>
  <c r="AM179" i="82" s="1"/>
  <c r="T179" i="82"/>
  <c r="X179" i="82"/>
  <c r="AB179" i="82" s="1"/>
  <c r="F179" i="82"/>
  <c r="AP177" i="82"/>
  <c r="AL177" i="82"/>
  <c r="AH177" i="82"/>
  <c r="AD177" i="82"/>
  <c r="AA177" i="82"/>
  <c r="AE177" i="82"/>
  <c r="AI177" i="82" s="1"/>
  <c r="AM177" i="82" s="1"/>
  <c r="T177" i="82"/>
  <c r="X177" i="82"/>
  <c r="AB177" i="82" s="1"/>
  <c r="AF177" i="82" s="1"/>
  <c r="AJ177" i="82" s="1"/>
  <c r="AN177" i="82" s="1"/>
  <c r="F177" i="82"/>
  <c r="AP176" i="82"/>
  <c r="AL176" i="82"/>
  <c r="AH176" i="82"/>
  <c r="AD176" i="82"/>
  <c r="AA176" i="82"/>
  <c r="AE176" i="82"/>
  <c r="AI176" i="82" s="1"/>
  <c r="AM176" i="82" s="1"/>
  <c r="T176" i="82"/>
  <c r="X176" i="82"/>
  <c r="AB176" i="82" s="1"/>
  <c r="AF176" i="82" s="1"/>
  <c r="AP175" i="82"/>
  <c r="AL175" i="82"/>
  <c r="AH175" i="82"/>
  <c r="AJ175" i="82" s="1"/>
  <c r="AN175" i="82" s="1"/>
  <c r="AD175" i="82"/>
  <c r="AA175" i="82"/>
  <c r="AE175" i="82"/>
  <c r="AI175" i="82"/>
  <c r="AM175" i="82" s="1"/>
  <c r="T175" i="82"/>
  <c r="X175" i="82"/>
  <c r="AB175" i="82"/>
  <c r="AF175" i="82" s="1"/>
  <c r="F175" i="82"/>
  <c r="AP173" i="82"/>
  <c r="AL173" i="82"/>
  <c r="AH173" i="82"/>
  <c r="AJ173" i="82" s="1"/>
  <c r="AD173" i="82"/>
  <c r="AA173" i="82"/>
  <c r="AE173" i="82" s="1"/>
  <c r="AI173" i="82" s="1"/>
  <c r="AM173" i="82" s="1"/>
  <c r="T173" i="82"/>
  <c r="X173" i="82" s="1"/>
  <c r="AB173" i="82" s="1"/>
  <c r="AF173" i="82" s="1"/>
  <c r="F173" i="82"/>
  <c r="F171" i="82"/>
  <c r="D167" i="82"/>
  <c r="F167" i="82" s="1"/>
  <c r="D163" i="82"/>
  <c r="AP148" i="82"/>
  <c r="AL148" i="82"/>
  <c r="AH148" i="82"/>
  <c r="AD148" i="82"/>
  <c r="AA148" i="82"/>
  <c r="AE148" i="82"/>
  <c r="AI148" i="82" s="1"/>
  <c r="AM148" i="82" s="1"/>
  <c r="T148" i="82"/>
  <c r="X148" i="82"/>
  <c r="AB148" i="82" s="1"/>
  <c r="AF148" i="82" s="1"/>
  <c r="AJ148" i="82" s="1"/>
  <c r="D148" i="82"/>
  <c r="F148" i="82" s="1"/>
  <c r="AP147" i="82"/>
  <c r="AL147" i="82"/>
  <c r="AH147" i="82"/>
  <c r="AD147" i="82"/>
  <c r="AA147" i="82"/>
  <c r="AE147" i="82" s="1"/>
  <c r="AI147" i="82" s="1"/>
  <c r="AM147" i="82" s="1"/>
  <c r="T147" i="82"/>
  <c r="X147" i="82" s="1"/>
  <c r="AB147" i="82" s="1"/>
  <c r="AF147" i="82"/>
  <c r="D147" i="82"/>
  <c r="AP146" i="82"/>
  <c r="AL146" i="82"/>
  <c r="AH146" i="82"/>
  <c r="AA146" i="82"/>
  <c r="AE146" i="82"/>
  <c r="AI146" i="82" s="1"/>
  <c r="AM146" i="82" s="1"/>
  <c r="AD146" i="82"/>
  <c r="T146" i="82"/>
  <c r="X146" i="82" s="1"/>
  <c r="AB146" i="82" s="1"/>
  <c r="AF146" i="82" s="1"/>
  <c r="AJ146" i="82" s="1"/>
  <c r="D146" i="82"/>
  <c r="AP145" i="82"/>
  <c r="AL145" i="82"/>
  <c r="AH145" i="82"/>
  <c r="AD145" i="82"/>
  <c r="AA145" i="82"/>
  <c r="AE145" i="82" s="1"/>
  <c r="AI145" i="82" s="1"/>
  <c r="AM145" i="82" s="1"/>
  <c r="T145" i="82"/>
  <c r="X145" i="82" s="1"/>
  <c r="AB145" i="82" s="1"/>
  <c r="AF145" i="82" s="1"/>
  <c r="D145" i="82"/>
  <c r="AP144" i="82"/>
  <c r="AL144" i="82"/>
  <c r="AH144" i="82"/>
  <c r="AD144" i="82"/>
  <c r="AA144" i="82"/>
  <c r="AE144" i="82" s="1"/>
  <c r="AI144" i="82" s="1"/>
  <c r="AM144" i="82" s="1"/>
  <c r="T144" i="82"/>
  <c r="X144" i="82" s="1"/>
  <c r="AB144" i="82" s="1"/>
  <c r="AF144" i="82" s="1"/>
  <c r="AJ144" i="82" s="1"/>
  <c r="AN144" i="82" s="1"/>
  <c r="D144" i="82"/>
  <c r="F144" i="82" s="1"/>
  <c r="AP143" i="82"/>
  <c r="AL143" i="82"/>
  <c r="AH143" i="82"/>
  <c r="AD143" i="82"/>
  <c r="AA143" i="82"/>
  <c r="AE143" i="82"/>
  <c r="AI143" i="82"/>
  <c r="AM143" i="82" s="1"/>
  <c r="T143" i="82"/>
  <c r="X143" i="82"/>
  <c r="AB143" i="82"/>
  <c r="AF143" i="82" s="1"/>
  <c r="D143" i="82"/>
  <c r="AP142" i="82"/>
  <c r="AL142" i="82"/>
  <c r="AH142" i="82"/>
  <c r="AD142" i="82"/>
  <c r="AA142" i="82"/>
  <c r="AE142" i="82"/>
  <c r="AI142" i="82"/>
  <c r="AM142" i="82" s="1"/>
  <c r="T142" i="82"/>
  <c r="X142" i="82"/>
  <c r="AB142" i="82"/>
  <c r="AF142" i="82" s="1"/>
  <c r="D142" i="82"/>
  <c r="F142" i="82" s="1"/>
  <c r="AP141" i="82"/>
  <c r="AL141" i="82"/>
  <c r="AH141" i="82"/>
  <c r="AD141" i="82"/>
  <c r="AA141" i="82"/>
  <c r="AE141" i="82" s="1"/>
  <c r="AI141" i="82" s="1"/>
  <c r="AM141" i="82"/>
  <c r="T141" i="82"/>
  <c r="X141" i="82" s="1"/>
  <c r="AB141" i="82" s="1"/>
  <c r="D141" i="82"/>
  <c r="AP140" i="82"/>
  <c r="AL140" i="82"/>
  <c r="AH140" i="82"/>
  <c r="AD140" i="82"/>
  <c r="AA140" i="82"/>
  <c r="AE140" i="82" s="1"/>
  <c r="AI140" i="82" s="1"/>
  <c r="AM140" i="82"/>
  <c r="T140" i="82"/>
  <c r="X140" i="82" s="1"/>
  <c r="AB140" i="82" s="1"/>
  <c r="AF140" i="82" s="1"/>
  <c r="D140" i="82"/>
  <c r="AP139" i="82"/>
  <c r="AL139" i="82"/>
  <c r="AH139" i="82"/>
  <c r="AD139" i="82"/>
  <c r="AA139" i="82"/>
  <c r="AE139" i="82"/>
  <c r="AI139" i="82" s="1"/>
  <c r="AM139" i="82" s="1"/>
  <c r="T139" i="82"/>
  <c r="X139" i="82"/>
  <c r="AB139" i="82" s="1"/>
  <c r="AF139" i="82" s="1"/>
  <c r="D139" i="82"/>
  <c r="AP138" i="82"/>
  <c r="AL138" i="82"/>
  <c r="AH138" i="82"/>
  <c r="AD138" i="82"/>
  <c r="AA138" i="82"/>
  <c r="AE138" i="82" s="1"/>
  <c r="AI138" i="82" s="1"/>
  <c r="AM138" i="82" s="1"/>
  <c r="T138" i="82"/>
  <c r="X138" i="82" s="1"/>
  <c r="AB138" i="82" s="1"/>
  <c r="AF138" i="82" s="1"/>
  <c r="AJ138" i="82" s="1"/>
  <c r="D138" i="82"/>
  <c r="F138" i="82" s="1"/>
  <c r="AP137" i="82"/>
  <c r="AL137" i="82"/>
  <c r="AH137" i="82"/>
  <c r="AD137" i="82"/>
  <c r="AA137" i="82"/>
  <c r="AE137" i="82" s="1"/>
  <c r="AI137" i="82" s="1"/>
  <c r="AM137" i="82" s="1"/>
  <c r="T137" i="82"/>
  <c r="X137" i="82" s="1"/>
  <c r="AB137" i="82" s="1"/>
  <c r="AF137" i="82" s="1"/>
  <c r="AJ137" i="82" s="1"/>
  <c r="AN137" i="82" s="1"/>
  <c r="D137" i="82"/>
  <c r="AP136" i="82"/>
  <c r="AL136" i="82"/>
  <c r="AA136" i="82"/>
  <c r="AE136" i="82" s="1"/>
  <c r="AI136" i="82" s="1"/>
  <c r="AM136" i="82" s="1"/>
  <c r="AH136" i="82"/>
  <c r="AD136" i="82"/>
  <c r="T136" i="82"/>
  <c r="X136" i="82" s="1"/>
  <c r="AB136" i="82" s="1"/>
  <c r="D136" i="82"/>
  <c r="F136" i="82" s="1"/>
  <c r="D135" i="82"/>
  <c r="AP134" i="82"/>
  <c r="AL134" i="82"/>
  <c r="AH134" i="82"/>
  <c r="AD134" i="82"/>
  <c r="AA134" i="82"/>
  <c r="AE134" i="82" s="1"/>
  <c r="AI134" i="82" s="1"/>
  <c r="AM134" i="82" s="1"/>
  <c r="T134" i="82"/>
  <c r="X134" i="82" s="1"/>
  <c r="AB134" i="82" s="1"/>
  <c r="D134" i="82"/>
  <c r="F134" i="82" s="1"/>
  <c r="AP133" i="82"/>
  <c r="AL133" i="82"/>
  <c r="AH133" i="82"/>
  <c r="AJ133" i="82"/>
  <c r="AN133" i="82" s="1"/>
  <c r="AD133" i="82"/>
  <c r="AA133" i="82"/>
  <c r="AE133" i="82"/>
  <c r="AI133" i="82" s="1"/>
  <c r="AM133" i="82" s="1"/>
  <c r="T133" i="82"/>
  <c r="X133" i="82"/>
  <c r="AB133" i="82" s="1"/>
  <c r="AF133" i="82" s="1"/>
  <c r="D133" i="82"/>
  <c r="AP132" i="82"/>
  <c r="AL132" i="82"/>
  <c r="AH132" i="82"/>
  <c r="AD132" i="82"/>
  <c r="AA132" i="82"/>
  <c r="AE132" i="82" s="1"/>
  <c r="AI132" i="82" s="1"/>
  <c r="AM132" i="82" s="1"/>
  <c r="T132" i="82"/>
  <c r="X132" i="82" s="1"/>
  <c r="AB132" i="82" s="1"/>
  <c r="AF132" i="82" s="1"/>
  <c r="AJ132" i="82" s="1"/>
  <c r="AN132" i="82" s="1"/>
  <c r="D132" i="82"/>
  <c r="F132" i="82" s="1"/>
  <c r="AP131" i="82"/>
  <c r="AL131" i="82"/>
  <c r="AH131" i="82"/>
  <c r="AD131" i="82"/>
  <c r="AA131" i="82"/>
  <c r="AE131" i="82" s="1"/>
  <c r="AI131" i="82" s="1"/>
  <c r="AM131" i="82" s="1"/>
  <c r="T131" i="82"/>
  <c r="X131" i="82" s="1"/>
  <c r="AB131" i="82" s="1"/>
  <c r="AF131" i="82" s="1"/>
  <c r="D131" i="82"/>
  <c r="AP130" i="82"/>
  <c r="AL130" i="82"/>
  <c r="AH130" i="82"/>
  <c r="AD130" i="82"/>
  <c r="AA130" i="82"/>
  <c r="AE130" i="82" s="1"/>
  <c r="AI130" i="82" s="1"/>
  <c r="AM130" i="82" s="1"/>
  <c r="T130" i="82"/>
  <c r="X130" i="82" s="1"/>
  <c r="AB130" i="82" s="1"/>
  <c r="AF130" i="82"/>
  <c r="AJ130" i="82" s="1"/>
  <c r="AN130" i="82" s="1"/>
  <c r="D130" i="82"/>
  <c r="AP129" i="82"/>
  <c r="AL129" i="82"/>
  <c r="AH129" i="82"/>
  <c r="AD129" i="82"/>
  <c r="AA129" i="82"/>
  <c r="AE129" i="82"/>
  <c r="AI129" i="82"/>
  <c r="AM129" i="82" s="1"/>
  <c r="T129" i="82"/>
  <c r="X129" i="82"/>
  <c r="AB129" i="82"/>
  <c r="AF129" i="82" s="1"/>
  <c r="D129" i="82"/>
  <c r="AP128" i="82"/>
  <c r="AL128" i="82"/>
  <c r="AH128" i="82"/>
  <c r="AD128" i="82"/>
  <c r="AA128" i="82"/>
  <c r="AE128" i="82"/>
  <c r="AI128" i="82"/>
  <c r="AM128" i="82" s="1"/>
  <c r="T128" i="82"/>
  <c r="X128" i="82"/>
  <c r="AB128" i="82"/>
  <c r="D128" i="82"/>
  <c r="F128" i="82" s="1"/>
  <c r="D127" i="82"/>
  <c r="AP126" i="82"/>
  <c r="AL126" i="82"/>
  <c r="AH126" i="82"/>
  <c r="AD126" i="82"/>
  <c r="AA126" i="82"/>
  <c r="AE126" i="82"/>
  <c r="AI126" i="82" s="1"/>
  <c r="AM126" i="82" s="1"/>
  <c r="T126" i="82"/>
  <c r="X126" i="82"/>
  <c r="AB126" i="82" s="1"/>
  <c r="AF126" i="82" s="1"/>
  <c r="AJ126" i="82" s="1"/>
  <c r="AN126" i="82" s="1"/>
  <c r="D126" i="82"/>
  <c r="AP125" i="82"/>
  <c r="AL125" i="82"/>
  <c r="AH125" i="82"/>
  <c r="AD125" i="82"/>
  <c r="AA125" i="82"/>
  <c r="AE125" i="82"/>
  <c r="AI125" i="82" s="1"/>
  <c r="AM125" i="82" s="1"/>
  <c r="T125" i="82"/>
  <c r="X125" i="82"/>
  <c r="AB125" i="82" s="1"/>
  <c r="D125" i="82"/>
  <c r="AP124" i="82"/>
  <c r="AL124" i="82"/>
  <c r="AN124" i="82" s="1"/>
  <c r="AH124" i="82"/>
  <c r="AD124" i="82"/>
  <c r="T124" i="82"/>
  <c r="X124" i="82"/>
  <c r="AB124" i="82" s="1"/>
  <c r="AF124" i="82" s="1"/>
  <c r="AJ124" i="82" s="1"/>
  <c r="AA124" i="82"/>
  <c r="AE124" i="82"/>
  <c r="AI124" i="82"/>
  <c r="AM124" i="82"/>
  <c r="D124" i="82"/>
  <c r="AP123" i="82"/>
  <c r="AL123" i="82"/>
  <c r="AH123" i="82"/>
  <c r="AD123" i="82"/>
  <c r="AA123" i="82"/>
  <c r="AE123" i="82"/>
  <c r="AI123" i="82"/>
  <c r="AM123" i="82" s="1"/>
  <c r="T123" i="82"/>
  <c r="X123" i="82"/>
  <c r="AB123" i="82"/>
  <c r="AF123" i="82" s="1"/>
  <c r="D123" i="82"/>
  <c r="F123" i="82" s="1"/>
  <c r="AP122" i="82"/>
  <c r="AL122" i="82"/>
  <c r="AH122" i="82"/>
  <c r="AD122" i="82"/>
  <c r="AA122" i="82"/>
  <c r="AE122" i="82" s="1"/>
  <c r="AI122" i="82" s="1"/>
  <c r="AM122" i="82"/>
  <c r="T122" i="82"/>
  <c r="X122" i="82" s="1"/>
  <c r="AB122" i="82" s="1"/>
  <c r="AF122" i="82" s="1"/>
  <c r="AJ122" i="82" s="1"/>
  <c r="AN122" i="82" s="1"/>
  <c r="D122" i="82"/>
  <c r="AP121" i="82"/>
  <c r="AL121" i="82"/>
  <c r="AH121" i="82"/>
  <c r="AD121" i="82"/>
  <c r="AA121" i="82"/>
  <c r="AE121" i="82"/>
  <c r="AI121" i="82"/>
  <c r="AM121" i="82" s="1"/>
  <c r="T121" i="82"/>
  <c r="X121" i="82"/>
  <c r="AB121" i="82"/>
  <c r="AF121" i="82" s="1"/>
  <c r="D121" i="82"/>
  <c r="F121" i="82" s="1"/>
  <c r="D120" i="82"/>
  <c r="AP119" i="82"/>
  <c r="AL119" i="82"/>
  <c r="AH119" i="82"/>
  <c r="AD119" i="82"/>
  <c r="AA119" i="82"/>
  <c r="AE119" i="82"/>
  <c r="AI119" i="82"/>
  <c r="AM119" i="82" s="1"/>
  <c r="T119" i="82"/>
  <c r="X119" i="82"/>
  <c r="AB119" i="82"/>
  <c r="AF119" i="82" s="1"/>
  <c r="AJ119" i="82" s="1"/>
  <c r="D119" i="82"/>
  <c r="AP118" i="82"/>
  <c r="AL118" i="82"/>
  <c r="AH118" i="82"/>
  <c r="AD118" i="82"/>
  <c r="AA118" i="82"/>
  <c r="AE118" i="82"/>
  <c r="AI118" i="82"/>
  <c r="AM118" i="82" s="1"/>
  <c r="T118" i="82"/>
  <c r="X118" i="82"/>
  <c r="AB118" i="82"/>
  <c r="AF118" i="82" s="1"/>
  <c r="D118" i="82"/>
  <c r="D117" i="82"/>
  <c r="AP116" i="82"/>
  <c r="AL116" i="82"/>
  <c r="AH116" i="82"/>
  <c r="AD116" i="82"/>
  <c r="Z116" i="82"/>
  <c r="V116" i="82"/>
  <c r="X116" i="82" s="1"/>
  <c r="AB116" i="82" s="1"/>
  <c r="AF116" i="82" s="1"/>
  <c r="AJ116" i="82" s="1"/>
  <c r="R116" i="82"/>
  <c r="N116" i="82"/>
  <c r="K116" i="82"/>
  <c r="O116" i="82"/>
  <c r="P116" i="82" s="1"/>
  <c r="T116" i="82" s="1"/>
  <c r="J116" i="82"/>
  <c r="L116" i="82"/>
  <c r="D116" i="82"/>
  <c r="F116" i="82" s="1"/>
  <c r="AP115" i="82"/>
  <c r="AL115" i="82"/>
  <c r="AH115" i="82"/>
  <c r="AD115" i="82"/>
  <c r="AA115" i="82"/>
  <c r="AE115" i="82" s="1"/>
  <c r="AI115" i="82" s="1"/>
  <c r="AM115" i="82" s="1"/>
  <c r="T115" i="82"/>
  <c r="X115" i="82" s="1"/>
  <c r="AB115" i="82" s="1"/>
  <c r="AF115" i="82" s="1"/>
  <c r="AJ115" i="82" s="1"/>
  <c r="AN115" i="82" s="1"/>
  <c r="D115" i="82"/>
  <c r="AP114" i="82"/>
  <c r="AL114" i="82"/>
  <c r="AH114" i="82"/>
  <c r="AD114" i="82"/>
  <c r="Z114" i="82"/>
  <c r="V114" i="82"/>
  <c r="R114" i="82"/>
  <c r="N114" i="82"/>
  <c r="K114" i="82"/>
  <c r="O114" i="82" s="1"/>
  <c r="S114" i="82" s="1"/>
  <c r="W114" i="82" s="1"/>
  <c r="AA114" i="82" s="1"/>
  <c r="AE114" i="82" s="1"/>
  <c r="AI114" i="82" s="1"/>
  <c r="AM114" i="82" s="1"/>
  <c r="J114" i="82"/>
  <c r="L114" i="82" s="1"/>
  <c r="D114" i="82"/>
  <c r="F114" i="82" s="1"/>
  <c r="AP113" i="82"/>
  <c r="AL113" i="82"/>
  <c r="AH113" i="82"/>
  <c r="AD113" i="82"/>
  <c r="AA113" i="82"/>
  <c r="AE113" i="82"/>
  <c r="AI113" i="82" s="1"/>
  <c r="AM113" i="82" s="1"/>
  <c r="T113" i="82"/>
  <c r="X113" i="82"/>
  <c r="AB113" i="82" s="1"/>
  <c r="AF113" i="82" s="1"/>
  <c r="AJ113" i="82" s="1"/>
  <c r="D113" i="82"/>
  <c r="AP112" i="82"/>
  <c r="AL112" i="82"/>
  <c r="AA112" i="82"/>
  <c r="AE112" i="82"/>
  <c r="AI112" i="82"/>
  <c r="AM112" i="82" s="1"/>
  <c r="AH112" i="82"/>
  <c r="AD112" i="82"/>
  <c r="T112" i="82"/>
  <c r="X112" i="82" s="1"/>
  <c r="AB112" i="82" s="1"/>
  <c r="AF112" i="82" s="1"/>
  <c r="AJ112" i="82" s="1"/>
  <c r="AN112" i="82" s="1"/>
  <c r="D112" i="82"/>
  <c r="AP111" i="82"/>
  <c r="AL111" i="82"/>
  <c r="AH111" i="82"/>
  <c r="AD111" i="82"/>
  <c r="AF111" i="82"/>
  <c r="AA111" i="82"/>
  <c r="AE111" i="82" s="1"/>
  <c r="AI111" i="82" s="1"/>
  <c r="AM111" i="82" s="1"/>
  <c r="T111" i="82"/>
  <c r="X111" i="82" s="1"/>
  <c r="AB111" i="82" s="1"/>
  <c r="D111" i="82"/>
  <c r="AP110" i="82"/>
  <c r="AL110" i="82"/>
  <c r="AH110" i="82"/>
  <c r="AD110" i="82"/>
  <c r="T110" i="82"/>
  <c r="X110" i="82" s="1"/>
  <c r="AB110" i="82" s="1"/>
  <c r="AA110" i="82"/>
  <c r="AE110" i="82"/>
  <c r="AI110" i="82" s="1"/>
  <c r="AM110" i="82" s="1"/>
  <c r="D110" i="82"/>
  <c r="F110" i="82" s="1"/>
  <c r="AP109" i="82"/>
  <c r="AL109" i="82"/>
  <c r="AH109" i="82"/>
  <c r="AD109" i="82"/>
  <c r="T109" i="82"/>
  <c r="X109" i="82" s="1"/>
  <c r="AB109" i="82" s="1"/>
  <c r="AF109" i="82" s="1"/>
  <c r="AJ109" i="82" s="1"/>
  <c r="AN109" i="82" s="1"/>
  <c r="AA109" i="82"/>
  <c r="AE109" i="82"/>
  <c r="AI109" i="82" s="1"/>
  <c r="AM109" i="82" s="1"/>
  <c r="D109" i="82"/>
  <c r="AP108" i="82"/>
  <c r="AL108" i="82"/>
  <c r="AH108" i="82"/>
  <c r="AD108" i="82"/>
  <c r="AA108" i="82"/>
  <c r="AE108" i="82" s="1"/>
  <c r="AI108" i="82" s="1"/>
  <c r="AM108" i="82" s="1"/>
  <c r="T108" i="82"/>
  <c r="X108" i="82" s="1"/>
  <c r="AB108" i="82" s="1"/>
  <c r="AF108" i="82" s="1"/>
  <c r="AJ108" i="82" s="1"/>
  <c r="D108" i="82"/>
  <c r="F108" i="82" s="1"/>
  <c r="AP107" i="82"/>
  <c r="AL107" i="82"/>
  <c r="AH107" i="82"/>
  <c r="AD107" i="82"/>
  <c r="AA107" i="82"/>
  <c r="AE107" i="82" s="1"/>
  <c r="AI107" i="82" s="1"/>
  <c r="AM107" i="82" s="1"/>
  <c r="T107" i="82"/>
  <c r="X107" i="82" s="1"/>
  <c r="AB107" i="82" s="1"/>
  <c r="AF107" i="82" s="1"/>
  <c r="AJ107" i="82" s="1"/>
  <c r="AN107" i="82" s="1"/>
  <c r="AP106" i="82"/>
  <c r="AL106" i="82"/>
  <c r="AH106" i="82"/>
  <c r="AD106" i="82"/>
  <c r="AA106" i="82"/>
  <c r="AE106" i="82" s="1"/>
  <c r="AI106" i="82" s="1"/>
  <c r="AM106" i="82"/>
  <c r="T106" i="82"/>
  <c r="X106" i="82" s="1"/>
  <c r="AB106" i="82" s="1"/>
  <c r="AF106" i="82" s="1"/>
  <c r="AJ106" i="82" s="1"/>
  <c r="AN106" i="82" s="1"/>
  <c r="AP105" i="82"/>
  <c r="AL105" i="82"/>
  <c r="AH105" i="82"/>
  <c r="AN105" i="82"/>
  <c r="AD105" i="82"/>
  <c r="AA105" i="82"/>
  <c r="AE105" i="82"/>
  <c r="AI105" i="82"/>
  <c r="AM105" i="82" s="1"/>
  <c r="T105" i="82"/>
  <c r="X105" i="82"/>
  <c r="AB105" i="82"/>
  <c r="AF105" i="82" s="1"/>
  <c r="AJ105" i="82" s="1"/>
  <c r="AP104" i="82"/>
  <c r="AL104" i="82"/>
  <c r="AH104" i="82"/>
  <c r="AA104" i="82"/>
  <c r="AE104" i="82" s="1"/>
  <c r="AI104" i="82" s="1"/>
  <c r="AM104" i="82"/>
  <c r="AD104" i="82"/>
  <c r="T104" i="82"/>
  <c r="X104" i="82"/>
  <c r="AB104" i="82"/>
  <c r="AF104" i="82" s="1"/>
  <c r="F103" i="82"/>
  <c r="F101" i="82"/>
  <c r="F99" i="82"/>
  <c r="F97" i="82"/>
  <c r="AP93" i="82"/>
  <c r="AL93" i="82"/>
  <c r="AH93" i="82"/>
  <c r="AD93" i="82"/>
  <c r="Z93" i="82"/>
  <c r="AB93" i="82" s="1"/>
  <c r="V93" i="82"/>
  <c r="S93" i="82"/>
  <c r="W93" i="82"/>
  <c r="AA93" i="82"/>
  <c r="AE93" i="82" s="1"/>
  <c r="AI93" i="82" s="1"/>
  <c r="AM93" i="82" s="1"/>
  <c r="R93" i="82"/>
  <c r="T93" i="82" s="1"/>
  <c r="X93" i="82" s="1"/>
  <c r="D93" i="82"/>
  <c r="F93" i="82" s="1"/>
  <c r="AP92" i="82"/>
  <c r="AL92" i="82"/>
  <c r="AH92" i="82"/>
  <c r="AD92" i="82"/>
  <c r="AA92" i="82"/>
  <c r="AE92" i="82" s="1"/>
  <c r="AI92" i="82" s="1"/>
  <c r="AM92" i="82" s="1"/>
  <c r="T92" i="82"/>
  <c r="X92" i="82" s="1"/>
  <c r="AB92" i="82" s="1"/>
  <c r="AF92" i="82"/>
  <c r="D92" i="82"/>
  <c r="AP91" i="82"/>
  <c r="AL91" i="82"/>
  <c r="AH91" i="82"/>
  <c r="AD91" i="82"/>
  <c r="AA91" i="82"/>
  <c r="AE91" i="82" s="1"/>
  <c r="AI91" i="82" s="1"/>
  <c r="AM91" i="82" s="1"/>
  <c r="Z91" i="82"/>
  <c r="T91" i="82"/>
  <c r="X91" i="82" s="1"/>
  <c r="D91" i="82"/>
  <c r="AP90" i="82"/>
  <c r="AL90" i="82"/>
  <c r="AH90" i="82"/>
  <c r="AD90" i="82"/>
  <c r="AA90" i="82"/>
  <c r="AE90" i="82" s="1"/>
  <c r="AI90" i="82" s="1"/>
  <c r="AM90" i="82" s="1"/>
  <c r="T90" i="82"/>
  <c r="X90" i="82" s="1"/>
  <c r="AB90" i="82" s="1"/>
  <c r="AF90" i="82" s="1"/>
  <c r="AJ90" i="82" s="1"/>
  <c r="D90" i="82"/>
  <c r="AP89" i="82"/>
  <c r="AL89" i="82"/>
  <c r="AH89" i="82"/>
  <c r="AD89" i="82"/>
  <c r="AA89" i="82"/>
  <c r="AE89" i="82" s="1"/>
  <c r="AI89" i="82" s="1"/>
  <c r="AM89" i="82" s="1"/>
  <c r="T89" i="82"/>
  <c r="X89" i="82" s="1"/>
  <c r="AB89" i="82" s="1"/>
  <c r="AF89" i="82" s="1"/>
  <c r="D89" i="82"/>
  <c r="AP88" i="82"/>
  <c r="AL88" i="82"/>
  <c r="AH88" i="82"/>
  <c r="AD88" i="82"/>
  <c r="AA88" i="82"/>
  <c r="AE88" i="82" s="1"/>
  <c r="AI88" i="82" s="1"/>
  <c r="AM88" i="82" s="1"/>
  <c r="T88" i="82"/>
  <c r="X88" i="82" s="1"/>
  <c r="AB88" i="82" s="1"/>
  <c r="D88" i="82"/>
  <c r="AP87" i="82"/>
  <c r="AL87" i="82"/>
  <c r="AH87" i="82"/>
  <c r="AD87" i="82"/>
  <c r="Z87" i="82"/>
  <c r="V87" i="82"/>
  <c r="K87" i="82"/>
  <c r="O87" i="82"/>
  <c r="S87" i="82" s="1"/>
  <c r="W87" i="82" s="1"/>
  <c r="AA87" i="82" s="1"/>
  <c r="AE87" i="82"/>
  <c r="AI87" i="82" s="1"/>
  <c r="AM87" i="82" s="1"/>
  <c r="R87" i="82"/>
  <c r="N87" i="82"/>
  <c r="J87" i="82"/>
  <c r="L87" i="82" s="1"/>
  <c r="D87" i="82"/>
  <c r="D240" i="82" s="1"/>
  <c r="F240" i="82" s="1"/>
  <c r="AP86" i="82"/>
  <c r="AL86" i="82"/>
  <c r="AH86" i="82"/>
  <c r="AD86" i="82"/>
  <c r="T86" i="82"/>
  <c r="X86" i="82"/>
  <c r="AB86" i="82"/>
  <c r="AF86" i="82" s="1"/>
  <c r="AJ86" i="82" s="1"/>
  <c r="AA86" i="82"/>
  <c r="AE86" i="82"/>
  <c r="AI86" i="82"/>
  <c r="AM86" i="82" s="1"/>
  <c r="D86" i="82"/>
  <c r="AP85" i="82"/>
  <c r="AL85" i="82"/>
  <c r="AH85" i="82"/>
  <c r="AD85" i="82"/>
  <c r="Z85" i="82"/>
  <c r="V85" i="82"/>
  <c r="R85" i="82"/>
  <c r="N85" i="82"/>
  <c r="T85" i="82"/>
  <c r="J85" i="82"/>
  <c r="L85" i="82" s="1"/>
  <c r="P85" i="82" s="1"/>
  <c r="K85" i="82"/>
  <c r="O85" i="82"/>
  <c r="S85" i="82" s="1"/>
  <c r="W85" i="82" s="1"/>
  <c r="AA85" i="82" s="1"/>
  <c r="AE85" i="82" s="1"/>
  <c r="AI85" i="82" s="1"/>
  <c r="AM85" i="82" s="1"/>
  <c r="D85" i="82"/>
  <c r="D238" i="82" s="1"/>
  <c r="F238" i="82" s="1"/>
  <c r="AP84" i="82"/>
  <c r="AL84" i="82"/>
  <c r="AH84" i="82"/>
  <c r="AD84" i="82"/>
  <c r="AA84" i="82"/>
  <c r="AE84" i="82" s="1"/>
  <c r="AI84" i="82" s="1"/>
  <c r="AM84" i="82" s="1"/>
  <c r="T84" i="82"/>
  <c r="X84" i="82" s="1"/>
  <c r="AB84" i="82" s="1"/>
  <c r="AF84" i="82" s="1"/>
  <c r="AJ84" i="82" s="1"/>
  <c r="AN84" i="82" s="1"/>
  <c r="AP83" i="82"/>
  <c r="AL83" i="82"/>
  <c r="AH83" i="82"/>
  <c r="AD83" i="82"/>
  <c r="AA83" i="82"/>
  <c r="AE83" i="82"/>
  <c r="AI83" i="82"/>
  <c r="AM83" i="82" s="1"/>
  <c r="T83" i="82"/>
  <c r="X83" i="82"/>
  <c r="AB83" i="82"/>
  <c r="F80" i="82"/>
  <c r="E69" i="82"/>
  <c r="F69" i="82"/>
  <c r="E58" i="82"/>
  <c r="F58" i="82" s="1"/>
  <c r="E56" i="82"/>
  <c r="F56" i="82"/>
  <c r="E54" i="82"/>
  <c r="F54" i="82" s="1"/>
  <c r="E52" i="82"/>
  <c r="F52" i="82"/>
  <c r="F50" i="82"/>
  <c r="AA48" i="82"/>
  <c r="AE48" i="82" s="1"/>
  <c r="AI48" i="82" s="1"/>
  <c r="AM48" i="82"/>
  <c r="T48" i="82"/>
  <c r="X48" i="82" s="1"/>
  <c r="AB48" i="82" s="1"/>
  <c r="E48" i="82"/>
  <c r="AP47" i="82"/>
  <c r="AL47" i="82"/>
  <c r="AH47" i="82"/>
  <c r="AD47" i="82"/>
  <c r="AF47" i="82" s="1"/>
  <c r="AA47" i="82"/>
  <c r="AE47" i="82" s="1"/>
  <c r="AI47" i="82" s="1"/>
  <c r="AM47" i="82"/>
  <c r="T47" i="82"/>
  <c r="X47" i="82"/>
  <c r="AB47" i="82"/>
  <c r="Z46" i="82"/>
  <c r="V46" i="82"/>
  <c r="S46" i="82"/>
  <c r="W46" i="82"/>
  <c r="AA46" i="82"/>
  <c r="AE46" i="82"/>
  <c r="AI46" i="82" s="1"/>
  <c r="AM46" i="82" s="1"/>
  <c r="E46" i="82"/>
  <c r="AP45" i="82"/>
  <c r="AL45" i="82"/>
  <c r="AH45" i="82"/>
  <c r="AD45" i="82"/>
  <c r="T45" i="82"/>
  <c r="X45" i="82" s="1"/>
  <c r="AB45" i="82" s="1"/>
  <c r="AF45" i="82" s="1"/>
  <c r="AJ45" i="82"/>
  <c r="AN45" i="82" s="1"/>
  <c r="O45" i="82"/>
  <c r="S45" i="82"/>
  <c r="W45" i="82"/>
  <c r="AA45" i="82" s="1"/>
  <c r="AE45" i="82" s="1"/>
  <c r="AI45" i="82" s="1"/>
  <c r="Z44" i="82"/>
  <c r="V44" i="82"/>
  <c r="O44" i="82"/>
  <c r="E44" i="82"/>
  <c r="N44" i="82" s="1"/>
  <c r="Z43" i="82"/>
  <c r="V43" i="82"/>
  <c r="R43" i="82"/>
  <c r="O43" i="82"/>
  <c r="E43" i="82"/>
  <c r="N43" i="82" s="1"/>
  <c r="Z42" i="82"/>
  <c r="V42" i="82"/>
  <c r="O42" i="82"/>
  <c r="S42" i="82"/>
  <c r="W42" i="82" s="1"/>
  <c r="AA42" i="82" s="1"/>
  <c r="AE42" i="82" s="1"/>
  <c r="AI42" i="82" s="1"/>
  <c r="AM42" i="82" s="1"/>
  <c r="E42" i="82"/>
  <c r="AD42" i="82" s="1"/>
  <c r="Z41" i="82"/>
  <c r="V41" i="82"/>
  <c r="R41" i="82"/>
  <c r="O41" i="82"/>
  <c r="S41" i="82"/>
  <c r="W41" i="82"/>
  <c r="AA41" i="82" s="1"/>
  <c r="AE41" i="82" s="1"/>
  <c r="AI41" i="82" s="1"/>
  <c r="AM41" i="82" s="1"/>
  <c r="E41" i="82"/>
  <c r="AD41" i="82" s="1"/>
  <c r="V40" i="82"/>
  <c r="O40" i="82"/>
  <c r="E40" i="82"/>
  <c r="Z39" i="82"/>
  <c r="V39" i="82"/>
  <c r="R39" i="82"/>
  <c r="O39" i="82"/>
  <c r="S39" i="82" s="1"/>
  <c r="W39" i="82" s="1"/>
  <c r="AA39" i="82" s="1"/>
  <c r="AE39" i="82" s="1"/>
  <c r="AI39" i="82" s="1"/>
  <c r="AM39" i="82" s="1"/>
  <c r="E39" i="82"/>
  <c r="AH39" i="82" s="1"/>
  <c r="Z38" i="82"/>
  <c r="V38" i="82"/>
  <c r="R38" i="82"/>
  <c r="O38" i="82"/>
  <c r="S38" i="82"/>
  <c r="W38" i="82" s="1"/>
  <c r="AA38" i="82" s="1"/>
  <c r="AE38" i="82" s="1"/>
  <c r="AI38" i="82" s="1"/>
  <c r="AM38" i="82" s="1"/>
  <c r="E38" i="82"/>
  <c r="AL38" i="82" s="1"/>
  <c r="AA37" i="82"/>
  <c r="AE37" i="82"/>
  <c r="AI37" i="82" s="1"/>
  <c r="AM37" i="82" s="1"/>
  <c r="T37" i="82"/>
  <c r="X37" i="82"/>
  <c r="AB37" i="82" s="1"/>
  <c r="E37" i="82"/>
  <c r="AA36" i="82"/>
  <c r="AE36" i="82"/>
  <c r="AI36" i="82" s="1"/>
  <c r="AM36" i="82" s="1"/>
  <c r="T36" i="82"/>
  <c r="X36" i="82"/>
  <c r="AB36" i="82" s="1"/>
  <c r="E36" i="82"/>
  <c r="AP36" i="82" s="1"/>
  <c r="AA35" i="82"/>
  <c r="AE35" i="82"/>
  <c r="AI35" i="82" s="1"/>
  <c r="AM35" i="82" s="1"/>
  <c r="T35" i="82"/>
  <c r="X35" i="82"/>
  <c r="AB35" i="82" s="1"/>
  <c r="E35" i="82"/>
  <c r="AA34" i="82"/>
  <c r="AE34" i="82"/>
  <c r="AI34" i="82" s="1"/>
  <c r="AM34" i="82" s="1"/>
  <c r="T34" i="82"/>
  <c r="X34" i="82"/>
  <c r="AB34" i="82" s="1"/>
  <c r="E34" i="82"/>
  <c r="AD34" i="82" s="1"/>
  <c r="N31" i="82"/>
  <c r="M31" i="82"/>
  <c r="N30" i="82"/>
  <c r="M30" i="82"/>
  <c r="N29" i="82"/>
  <c r="M29" i="82"/>
  <c r="N28" i="82"/>
  <c r="M28" i="82"/>
  <c r="F24" i="82"/>
  <c r="F22" i="82"/>
  <c r="F20" i="82"/>
  <c r="D14" i="82"/>
  <c r="I17" i="82" s="1"/>
  <c r="AF284" i="83"/>
  <c r="AB284" i="83"/>
  <c r="AD284" i="83" s="1"/>
  <c r="X284" i="83"/>
  <c r="T284" i="83"/>
  <c r="Q284" i="83"/>
  <c r="U284" i="83"/>
  <c r="Y284" i="83"/>
  <c r="AC284" i="83"/>
  <c r="J284" i="83"/>
  <c r="N284" i="83"/>
  <c r="R284" i="83"/>
  <c r="V284" i="83"/>
  <c r="Z284" i="83" s="1"/>
  <c r="AF282" i="83"/>
  <c r="AB282" i="83"/>
  <c r="X282" i="83"/>
  <c r="T282" i="83"/>
  <c r="P282" i="83"/>
  <c r="L282" i="83"/>
  <c r="J282" i="83"/>
  <c r="N282" i="83" s="1"/>
  <c r="R282" i="83" s="1"/>
  <c r="I282" i="83"/>
  <c r="M282" i="83" s="1"/>
  <c r="Q282" i="83" s="1"/>
  <c r="U282" i="83" s="1"/>
  <c r="Y282" i="83"/>
  <c r="AC282" i="83" s="1"/>
  <c r="AF280" i="83"/>
  <c r="AB280" i="83"/>
  <c r="X280" i="83"/>
  <c r="T280" i="83"/>
  <c r="P280" i="83"/>
  <c r="V280" i="83"/>
  <c r="L280" i="83"/>
  <c r="N280" i="83"/>
  <c r="R280" i="83" s="1"/>
  <c r="J280" i="83"/>
  <c r="I280" i="83"/>
  <c r="M280" i="83"/>
  <c r="Q280" i="83"/>
  <c r="U280" i="83" s="1"/>
  <c r="Y280" i="83" s="1"/>
  <c r="AC280" i="83" s="1"/>
  <c r="AF279" i="83"/>
  <c r="AB279" i="83"/>
  <c r="X279" i="83"/>
  <c r="T279" i="83"/>
  <c r="Q279" i="83"/>
  <c r="U279" i="83" s="1"/>
  <c r="Y279" i="83" s="1"/>
  <c r="AC279" i="83" s="1"/>
  <c r="AF278" i="83"/>
  <c r="AB278" i="83"/>
  <c r="X278" i="83"/>
  <c r="T278" i="83"/>
  <c r="Q278" i="83"/>
  <c r="U278" i="83" s="1"/>
  <c r="Y278" i="83" s="1"/>
  <c r="AC278" i="83" s="1"/>
  <c r="AP262" i="83"/>
  <c r="AL262" i="83"/>
  <c r="AH262" i="83"/>
  <c r="AD262" i="83"/>
  <c r="AA262" i="83"/>
  <c r="AE262" i="83" s="1"/>
  <c r="AI262" i="83" s="1"/>
  <c r="AM262" i="83" s="1"/>
  <c r="T262" i="83"/>
  <c r="X262" i="83" s="1"/>
  <c r="AB262" i="83" s="1"/>
  <c r="AF262" i="83" s="1"/>
  <c r="AJ262" i="83"/>
  <c r="AN262" i="83" s="1"/>
  <c r="F262" i="83"/>
  <c r="AP261" i="83"/>
  <c r="AL261" i="83"/>
  <c r="AH261" i="83"/>
  <c r="AD261" i="83"/>
  <c r="AA261" i="83"/>
  <c r="AE261" i="83"/>
  <c r="AI261" i="83" s="1"/>
  <c r="AM261" i="83" s="1"/>
  <c r="T261" i="83"/>
  <c r="X261" i="83"/>
  <c r="AB261" i="83" s="1"/>
  <c r="AF261" i="83" s="1"/>
  <c r="AJ261" i="83" s="1"/>
  <c r="AP260" i="83"/>
  <c r="AL260" i="83"/>
  <c r="AH260" i="83"/>
  <c r="AJ260" i="83" s="1"/>
  <c r="AN260" i="83" s="1"/>
  <c r="AD260" i="83"/>
  <c r="AA260" i="83"/>
  <c r="AE260" i="83"/>
  <c r="AI260" i="83"/>
  <c r="AM260" i="83" s="1"/>
  <c r="T260" i="83"/>
  <c r="X260" i="83"/>
  <c r="AB260" i="83"/>
  <c r="AF260" i="83" s="1"/>
  <c r="F260" i="83"/>
  <c r="F258" i="83"/>
  <c r="F254" i="83"/>
  <c r="D250" i="83"/>
  <c r="D302" i="83"/>
  <c r="F302" i="83"/>
  <c r="F248" i="83"/>
  <c r="F221" i="83"/>
  <c r="E218" i="83"/>
  <c r="F218" i="83"/>
  <c r="E216" i="83"/>
  <c r="F216" i="83"/>
  <c r="E214" i="83"/>
  <c r="D214" i="83"/>
  <c r="F214" i="83" s="1"/>
  <c r="E212" i="83"/>
  <c r="F212" i="83"/>
  <c r="E210" i="83"/>
  <c r="D210" i="83"/>
  <c r="F210" i="83" s="1"/>
  <c r="E208" i="83"/>
  <c r="D208" i="83"/>
  <c r="F208" i="83" s="1"/>
  <c r="E206" i="83"/>
  <c r="D206" i="83"/>
  <c r="E202" i="83"/>
  <c r="D202" i="83"/>
  <c r="E200" i="83"/>
  <c r="F200" i="83"/>
  <c r="E198" i="83"/>
  <c r="F198" i="83"/>
  <c r="E196" i="83"/>
  <c r="D196" i="83"/>
  <c r="D194" i="83"/>
  <c r="E192" i="83"/>
  <c r="F192" i="83" s="1"/>
  <c r="D149" i="83"/>
  <c r="D147" i="83"/>
  <c r="D145" i="83"/>
  <c r="F145" i="83" s="1"/>
  <c r="D143" i="83"/>
  <c r="F143" i="83" s="1"/>
  <c r="D141" i="83"/>
  <c r="F141" i="83" s="1"/>
  <c r="E137" i="83"/>
  <c r="D137" i="83"/>
  <c r="F137" i="83" s="1"/>
  <c r="E135" i="83"/>
  <c r="D135" i="83"/>
  <c r="E133" i="83"/>
  <c r="D133" i="83"/>
  <c r="F133" i="83" s="1"/>
  <c r="D130" i="83"/>
  <c r="F130" i="83" s="1"/>
  <c r="E128" i="83"/>
  <c r="F128" i="83"/>
  <c r="E126" i="83"/>
  <c r="D126" i="83"/>
  <c r="F126" i="83" s="1"/>
  <c r="E114" i="83"/>
  <c r="D114" i="83"/>
  <c r="E112" i="83"/>
  <c r="F112" i="83"/>
  <c r="E110" i="83"/>
  <c r="D110" i="83"/>
  <c r="F110" i="83" s="1"/>
  <c r="E124" i="83"/>
  <c r="D124" i="83"/>
  <c r="F124" i="83" s="1"/>
  <c r="E108" i="83"/>
  <c r="D108" i="83"/>
  <c r="F108" i="83" s="1"/>
  <c r="E106" i="83"/>
  <c r="D106" i="83"/>
  <c r="F106" i="83" s="1"/>
  <c r="E104" i="83"/>
  <c r="F104" i="83"/>
  <c r="E102" i="83"/>
  <c r="D102" i="83"/>
  <c r="E100" i="83"/>
  <c r="D100" i="83"/>
  <c r="E98" i="83"/>
  <c r="D98" i="83"/>
  <c r="F98" i="83" s="1"/>
  <c r="D96" i="83"/>
  <c r="F96" i="83"/>
  <c r="D94" i="83"/>
  <c r="F94" i="83" s="1"/>
  <c r="D92" i="83"/>
  <c r="F92" i="83" s="1"/>
  <c r="D87" i="83"/>
  <c r="D232" i="83" s="1"/>
  <c r="F232" i="83" s="1"/>
  <c r="D85" i="83"/>
  <c r="F85" i="83" s="1"/>
  <c r="D82" i="83"/>
  <c r="F82" i="83" s="1"/>
  <c r="D80" i="83"/>
  <c r="F80" i="83" s="1"/>
  <c r="D78" i="83"/>
  <c r="F78" i="83" s="1"/>
  <c r="D76" i="83"/>
  <c r="F76" i="83" s="1"/>
  <c r="D74" i="83"/>
  <c r="F74" i="83" s="1"/>
  <c r="D72" i="83"/>
  <c r="F72" i="83"/>
  <c r="E64" i="83"/>
  <c r="D64" i="83"/>
  <c r="F64" i="83" s="1"/>
  <c r="E62" i="83"/>
  <c r="D62" i="83"/>
  <c r="F62" i="83" s="1"/>
  <c r="E60" i="83"/>
  <c r="D60" i="83"/>
  <c r="E58" i="83"/>
  <c r="D58" i="83"/>
  <c r="F58" i="83" s="1"/>
  <c r="E56" i="83"/>
  <c r="D56" i="83"/>
  <c r="E45" i="83"/>
  <c r="D45" i="83"/>
  <c r="F45" i="83" s="1"/>
  <c r="E43" i="83"/>
  <c r="D43" i="83"/>
  <c r="A51" i="83"/>
  <c r="A120" i="83"/>
  <c r="A184" i="83" s="1"/>
  <c r="A238" i="83" s="1"/>
  <c r="F27" i="83"/>
  <c r="F25" i="83"/>
  <c r="F23" i="83"/>
  <c r="F21" i="83"/>
  <c r="D81" i="84"/>
  <c r="F81" i="84"/>
  <c r="K79" i="84"/>
  <c r="J79" i="84"/>
  <c r="D79" i="84"/>
  <c r="F79" i="84"/>
  <c r="F75" i="84"/>
  <c r="F73" i="84"/>
  <c r="F71" i="84"/>
  <c r="F67" i="84"/>
  <c r="F65" i="84"/>
  <c r="F63" i="84"/>
  <c r="F61" i="84"/>
  <c r="F59" i="84"/>
  <c r="F94" i="84" s="1"/>
  <c r="F106" i="84" s="1"/>
  <c r="A51" i="84"/>
  <c r="A97" i="84"/>
  <c r="K39" i="84"/>
  <c r="F39" i="84"/>
  <c r="L37" i="84"/>
  <c r="K37" i="84"/>
  <c r="F37" i="84"/>
  <c r="L35" i="84"/>
  <c r="K35" i="84"/>
  <c r="F35" i="84"/>
  <c r="L33" i="84"/>
  <c r="K33" i="84"/>
  <c r="F33" i="84"/>
  <c r="L31" i="84"/>
  <c r="K31" i="84"/>
  <c r="F31" i="84"/>
  <c r="L29" i="84"/>
  <c r="K29" i="84"/>
  <c r="F29" i="84"/>
  <c r="J27" i="84"/>
  <c r="K27" i="84"/>
  <c r="P24" i="84"/>
  <c r="Q24" i="84" s="1"/>
  <c r="N24" i="84"/>
  <c r="D24" i="84"/>
  <c r="F24" i="84"/>
  <c r="P22" i="84"/>
  <c r="N22" i="84"/>
  <c r="H22" i="84"/>
  <c r="H23" i="84" s="1"/>
  <c r="D22" i="84"/>
  <c r="F22" i="84" s="1"/>
  <c r="P20" i="84"/>
  <c r="N20" i="84"/>
  <c r="Q20" i="84"/>
  <c r="F20" i="84"/>
  <c r="P18" i="84"/>
  <c r="N18" i="84"/>
  <c r="Q18" i="84" s="1"/>
  <c r="F18" i="84"/>
  <c r="P16" i="84"/>
  <c r="N16" i="84"/>
  <c r="Q16" i="84"/>
  <c r="F16" i="84"/>
  <c r="F48" i="84" s="1"/>
  <c r="F104" i="84" s="1"/>
  <c r="F157" i="84" s="1"/>
  <c r="J14" i="84"/>
  <c r="I14" i="84"/>
  <c r="AJ109" i="81"/>
  <c r="AN90" i="82"/>
  <c r="P35" i="81"/>
  <c r="AH45" i="81"/>
  <c r="AF107" i="81"/>
  <c r="AJ107" i="81" s="1"/>
  <c r="AN107" i="81" s="1"/>
  <c r="AF34" i="81"/>
  <c r="AJ34" i="81" s="1"/>
  <c r="AN34" i="81" s="1"/>
  <c r="AF172" i="81"/>
  <c r="AJ172" i="81"/>
  <c r="AN172" i="81" s="1"/>
  <c r="AF110" i="81"/>
  <c r="AJ110" i="81"/>
  <c r="AN110" i="81"/>
  <c r="AF134" i="81"/>
  <c r="AF226" i="81"/>
  <c r="AJ226" i="81" s="1"/>
  <c r="AN226" i="81" s="1"/>
  <c r="X40" i="81"/>
  <c r="AB40" i="81" s="1"/>
  <c r="AF127" i="81"/>
  <c r="N300" i="83"/>
  <c r="R300" i="83" s="1"/>
  <c r="V300" i="83" s="1"/>
  <c r="Z300" i="83" s="1"/>
  <c r="AD300" i="83"/>
  <c r="AN87" i="81"/>
  <c r="P38" i="81"/>
  <c r="T38" i="81"/>
  <c r="X38" i="81"/>
  <c r="AB38" i="81" s="1"/>
  <c r="AF38" i="81" s="1"/>
  <c r="AJ38" i="81" s="1"/>
  <c r="AN38" i="81" s="1"/>
  <c r="S38" i="81"/>
  <c r="W38" i="81" s="1"/>
  <c r="AA38" i="81" s="1"/>
  <c r="AE38" i="81" s="1"/>
  <c r="AI38" i="81" s="1"/>
  <c r="AM38" i="81" s="1"/>
  <c r="AN138" i="82"/>
  <c r="AJ177" i="81"/>
  <c r="P114" i="82"/>
  <c r="T114" i="82" s="1"/>
  <c r="X114" i="82" s="1"/>
  <c r="AB114" i="82" s="1"/>
  <c r="AF114" i="82" s="1"/>
  <c r="AJ114" i="82" s="1"/>
  <c r="AF136" i="82"/>
  <c r="X90" i="81"/>
  <c r="AF112" i="81"/>
  <c r="AJ112" i="81"/>
  <c r="AN112" i="81" s="1"/>
  <c r="AJ125" i="81"/>
  <c r="AF129" i="81"/>
  <c r="AJ129" i="81" s="1"/>
  <c r="AN108" i="82"/>
  <c r="AJ139" i="82"/>
  <c r="AD31" i="81"/>
  <c r="AF31" i="81" s="1"/>
  <c r="AJ31" i="81" s="1"/>
  <c r="AD35" i="81"/>
  <c r="N39" i="81"/>
  <c r="AD41" i="81"/>
  <c r="AJ89" i="81"/>
  <c r="AN89" i="81"/>
  <c r="AF118" i="81"/>
  <c r="AJ118" i="81" s="1"/>
  <c r="AF126" i="81"/>
  <c r="AJ126" i="81"/>
  <c r="AN126" i="81"/>
  <c r="AF138" i="81"/>
  <c r="AJ138" i="81" s="1"/>
  <c r="AN138" i="81" s="1"/>
  <c r="S35" i="81"/>
  <c r="W35" i="81"/>
  <c r="AA35" i="81" s="1"/>
  <c r="AE35" i="81" s="1"/>
  <c r="AI35" i="81" s="1"/>
  <c r="AM35" i="81" s="1"/>
  <c r="AP35" i="81"/>
  <c r="AJ36" i="81"/>
  <c r="AN36" i="81" s="1"/>
  <c r="P39" i="81"/>
  <c r="AD39" i="81"/>
  <c r="F45" i="81"/>
  <c r="AF132" i="81"/>
  <c r="AJ132" i="81"/>
  <c r="AN132" i="81"/>
  <c r="X210" i="81"/>
  <c r="AB210" i="81" s="1"/>
  <c r="AF210" i="81" s="1"/>
  <c r="D18" i="82"/>
  <c r="F18" i="82" s="1"/>
  <c r="Z40" i="82"/>
  <c r="F85" i="82"/>
  <c r="F87" i="82"/>
  <c r="R40" i="82"/>
  <c r="AH44" i="82"/>
  <c r="F163" i="82"/>
  <c r="AP34" i="82"/>
  <c r="AP40" i="82"/>
  <c r="AP44" i="82"/>
  <c r="V302" i="83"/>
  <c r="V301" i="83"/>
  <c r="Z301" i="83"/>
  <c r="AD301" i="83" s="1"/>
  <c r="V299" i="83"/>
  <c r="Z299" i="83"/>
  <c r="AD299" i="83"/>
  <c r="N286" i="83"/>
  <c r="R286" i="83"/>
  <c r="V286" i="83"/>
  <c r="Z286" i="83"/>
  <c r="AD286" i="83" s="1"/>
  <c r="Z302" i="83"/>
  <c r="AD302" i="83"/>
  <c r="Y302" i="83"/>
  <c r="AC302" i="83" s="1"/>
  <c r="Y300" i="83"/>
  <c r="AC300" i="83"/>
  <c r="F100" i="83"/>
  <c r="F87" i="83"/>
  <c r="F196" i="83"/>
  <c r="F250" i="83"/>
  <c r="F135" i="83"/>
  <c r="F194" i="83"/>
  <c r="Q22" i="84"/>
  <c r="AL37" i="81"/>
  <c r="AL31" i="81"/>
  <c r="AD33" i="81"/>
  <c r="AF33" i="81" s="1"/>
  <c r="AJ33" i="81" s="1"/>
  <c r="AN33" i="81" s="1"/>
  <c r="AL35" i="81"/>
  <c r="N37" i="81"/>
  <c r="AD37" i="81"/>
  <c r="AH39" i="81"/>
  <c r="S41" i="81"/>
  <c r="W41" i="81"/>
  <c r="AA41" i="81"/>
  <c r="AE41" i="81"/>
  <c r="AI41" i="81" s="1"/>
  <c r="AM41" i="81" s="1"/>
  <c r="R43" i="81"/>
  <c r="T43" i="81"/>
  <c r="X43" i="81" s="1"/>
  <c r="P84" i="81"/>
  <c r="T84" i="81"/>
  <c r="X84" i="81" s="1"/>
  <c r="AL33" i="81"/>
  <c r="P37" i="81"/>
  <c r="F31" i="81"/>
  <c r="AP33" i="81"/>
  <c r="F35" i="81"/>
  <c r="Z37" i="81"/>
  <c r="AP37" i="81"/>
  <c r="F39" i="81"/>
  <c r="R39" i="81"/>
  <c r="T39" i="81"/>
  <c r="X39" i="81"/>
  <c r="AB39" i="81" s="1"/>
  <c r="S40" i="81"/>
  <c r="W40" i="81"/>
  <c r="AA40" i="81"/>
  <c r="AE40" i="81"/>
  <c r="AI40" i="81" s="1"/>
  <c r="AM40" i="81" s="1"/>
  <c r="AF40" i="81"/>
  <c r="F33" i="81"/>
  <c r="F37" i="81"/>
  <c r="R37" i="81"/>
  <c r="T37" i="81" s="1"/>
  <c r="X37" i="81" s="1"/>
  <c r="AB37" i="81" s="1"/>
  <c r="AF37" i="81" s="1"/>
  <c r="AD43" i="81"/>
  <c r="AH43" i="81"/>
  <c r="AL43" i="81"/>
  <c r="F43" i="81"/>
  <c r="AB90" i="81"/>
  <c r="AF90" i="81" s="1"/>
  <c r="AJ90" i="81" s="1"/>
  <c r="AN90" i="81" s="1"/>
  <c r="AL227" i="81"/>
  <c r="AD45" i="81"/>
  <c r="AN45" i="81"/>
  <c r="F86" i="81"/>
  <c r="AJ116" i="81"/>
  <c r="AN116" i="81" s="1"/>
  <c r="AN118" i="81"/>
  <c r="AL225" i="81"/>
  <c r="AP45" i="81"/>
  <c r="AF106" i="81"/>
  <c r="AF119" i="81"/>
  <c r="AF120" i="81"/>
  <c r="AJ120" i="81"/>
  <c r="AN120" i="81" s="1"/>
  <c r="S223" i="81"/>
  <c r="W223" i="81"/>
  <c r="AA223" i="81"/>
  <c r="AE223" i="81" s="1"/>
  <c r="AI223" i="81" s="1"/>
  <c r="AM223" i="81" s="1"/>
  <c r="P223" i="81"/>
  <c r="T223" i="81" s="1"/>
  <c r="X223" i="81" s="1"/>
  <c r="AF101" i="81"/>
  <c r="AJ101" i="81"/>
  <c r="AN101" i="81"/>
  <c r="AF103" i="81"/>
  <c r="AJ103" i="81" s="1"/>
  <c r="AN103" i="81" s="1"/>
  <c r="AN109" i="81"/>
  <c r="P111" i="81"/>
  <c r="T111" i="81"/>
  <c r="X111" i="81"/>
  <c r="AB111" i="81"/>
  <c r="AF111" i="81" s="1"/>
  <c r="AJ111" i="81" s="1"/>
  <c r="AN111" i="81" s="1"/>
  <c r="S111" i="81"/>
  <c r="W111" i="81" s="1"/>
  <c r="AA111" i="81" s="1"/>
  <c r="AE111" i="81" s="1"/>
  <c r="AI111" i="81" s="1"/>
  <c r="AM111" i="81" s="1"/>
  <c r="AJ119" i="81"/>
  <c r="AJ127" i="81"/>
  <c r="D227" i="81"/>
  <c r="F227" i="81"/>
  <c r="F192" i="81"/>
  <c r="AJ210" i="81"/>
  <c r="AN210" i="81" s="1"/>
  <c r="AF128" i="81"/>
  <c r="AJ128" i="81"/>
  <c r="AN128" i="81"/>
  <c r="AF142" i="81"/>
  <c r="AJ142" i="81" s="1"/>
  <c r="AJ131" i="81"/>
  <c r="AN131" i="81" s="1"/>
  <c r="AF133" i="81"/>
  <c r="AJ133" i="81"/>
  <c r="AN133" i="81"/>
  <c r="AJ135" i="81"/>
  <c r="AN135" i="81" s="1"/>
  <c r="AN136" i="81"/>
  <c r="AF137" i="81"/>
  <c r="AJ137" i="81" s="1"/>
  <c r="AN137" i="81" s="1"/>
  <c r="AF139" i="81"/>
  <c r="AJ139" i="81" s="1"/>
  <c r="AN139" i="81" s="1"/>
  <c r="AJ141" i="81"/>
  <c r="AN141" i="81"/>
  <c r="AF174" i="81"/>
  <c r="AJ174" i="81"/>
  <c r="AN174" i="81" s="1"/>
  <c r="AJ224" i="81"/>
  <c r="AN224" i="81"/>
  <c r="AI225" i="81"/>
  <c r="AM225" i="81" s="1"/>
  <c r="AH225" i="81"/>
  <c r="AI227" i="81"/>
  <c r="AM227" i="81" s="1"/>
  <c r="AH227" i="81"/>
  <c r="D213" i="82"/>
  <c r="F213" i="82" s="1"/>
  <c r="F36" i="82"/>
  <c r="AH36" i="82"/>
  <c r="AD37" i="82"/>
  <c r="AF37" i="82" s="1"/>
  <c r="S44" i="82"/>
  <c r="W44" i="82"/>
  <c r="AA44" i="82" s="1"/>
  <c r="AE44" i="82" s="1"/>
  <c r="AI44" i="82" s="1"/>
  <c r="AM44" i="82" s="1"/>
  <c r="AF83" i="82"/>
  <c r="AD36" i="82"/>
  <c r="AF36" i="82" s="1"/>
  <c r="AH38" i="82"/>
  <c r="P38" i="82"/>
  <c r="T38" i="82" s="1"/>
  <c r="X38" i="82" s="1"/>
  <c r="AF88" i="82"/>
  <c r="AJ88" i="82" s="1"/>
  <c r="AL36" i="82"/>
  <c r="P40" i="82"/>
  <c r="S40" i="82"/>
  <c r="W40" i="82" s="1"/>
  <c r="AA40" i="82" s="1"/>
  <c r="AE40" i="82" s="1"/>
  <c r="AI40" i="82" s="1"/>
  <c r="AM40" i="82" s="1"/>
  <c r="AL37" i="82"/>
  <c r="F38" i="82"/>
  <c r="AD38" i="82"/>
  <c r="S43" i="82"/>
  <c r="W43" i="82"/>
  <c r="AA43" i="82"/>
  <c r="AE43" i="82" s="1"/>
  <c r="AI43" i="82" s="1"/>
  <c r="AM43" i="82" s="1"/>
  <c r="AH43" i="82"/>
  <c r="D244" i="82"/>
  <c r="F244" i="82" s="1"/>
  <c r="F91" i="82"/>
  <c r="AL44" i="82"/>
  <c r="AF128" i="82"/>
  <c r="AL232" i="82"/>
  <c r="AJ129" i="82"/>
  <c r="AN129" i="82" s="1"/>
  <c r="D232" i="82"/>
  <c r="F232" i="82"/>
  <c r="F197" i="82"/>
  <c r="AF93" i="82"/>
  <c r="AJ93" i="82" s="1"/>
  <c r="AN93" i="82" s="1"/>
  <c r="AJ111" i="82"/>
  <c r="AN111" i="82" s="1"/>
  <c r="AF125" i="82"/>
  <c r="AJ125" i="82" s="1"/>
  <c r="AJ131" i="82"/>
  <c r="AN131" i="82" s="1"/>
  <c r="AL230" i="82"/>
  <c r="AJ145" i="82"/>
  <c r="AN145" i="82"/>
  <c r="AN146" i="82"/>
  <c r="AJ176" i="82"/>
  <c r="AF179" i="82"/>
  <c r="AJ179" i="82" s="1"/>
  <c r="AN148" i="82"/>
  <c r="AN227" i="82"/>
  <c r="AH230" i="82"/>
  <c r="AI232" i="82"/>
  <c r="AM232" i="82" s="1"/>
  <c r="AH232" i="82"/>
  <c r="F88" i="81"/>
  <c r="A354" i="83"/>
  <c r="A295" i="83"/>
  <c r="AN261" i="83"/>
  <c r="AN35" i="81"/>
  <c r="AJ89" i="82"/>
  <c r="AN89" i="82" s="1"/>
  <c r="P197" i="94"/>
  <c r="T197" i="94"/>
  <c r="X197" i="94"/>
  <c r="AB197" i="94" s="1"/>
  <c r="AF197" i="94" s="1"/>
  <c r="AJ197" i="94" s="1"/>
  <c r="AN197" i="94" s="1"/>
  <c r="S197" i="94"/>
  <c r="W197" i="94"/>
  <c r="AA197" i="94"/>
  <c r="AE197" i="94" s="1"/>
  <c r="AI197" i="94" s="1"/>
  <c r="AM197" i="94" s="1"/>
  <c r="AJ227" i="81"/>
  <c r="AN227" i="81"/>
  <c r="S116" i="82"/>
  <c r="W116" i="82" s="1"/>
  <c r="AA116" i="82" s="1"/>
  <c r="AE116" i="82" s="1"/>
  <c r="AI116" i="82" s="1"/>
  <c r="AM116" i="82" s="1"/>
  <c r="S22" i="94"/>
  <c r="W22" i="94"/>
  <c r="AA22" i="94"/>
  <c r="AE22" i="94" s="1"/>
  <c r="AI22" i="94" s="1"/>
  <c r="AM22" i="94" s="1"/>
  <c r="P22" i="94"/>
  <c r="T22" i="94"/>
  <c r="X22" i="94" s="1"/>
  <c r="AB22" i="94" s="1"/>
  <c r="AF22" i="94" s="1"/>
  <c r="AJ22" i="94" s="1"/>
  <c r="AN22" i="94" s="1"/>
  <c r="F258" i="94"/>
  <c r="F276" i="94"/>
  <c r="X230" i="82"/>
  <c r="AB230" i="82"/>
  <c r="AF230" i="82"/>
  <c r="AJ230" i="82" s="1"/>
  <c r="AN230" i="82" s="1"/>
  <c r="AN108" i="81"/>
  <c r="S20" i="94"/>
  <c r="W20" i="94" s="1"/>
  <c r="AA20" i="94" s="1"/>
  <c r="AE20" i="94" s="1"/>
  <c r="AI20" i="94" s="1"/>
  <c r="AM20" i="94" s="1"/>
  <c r="P20" i="94"/>
  <c r="T20" i="94"/>
  <c r="X20" i="94" s="1"/>
  <c r="AB20" i="94" s="1"/>
  <c r="AF20" i="94" s="1"/>
  <c r="AJ20" i="94" s="1"/>
  <c r="AN20" i="94" s="1"/>
  <c r="F202" i="83"/>
  <c r="AP39" i="81"/>
  <c r="AN85" i="81"/>
  <c r="S32" i="94"/>
  <c r="W32" i="94"/>
  <c r="AA32" i="94"/>
  <c r="AE32" i="94" s="1"/>
  <c r="AI32" i="94" s="1"/>
  <c r="AM32" i="94" s="1"/>
  <c r="P32" i="94"/>
  <c r="T32" i="94" s="1"/>
  <c r="X32" i="94" s="1"/>
  <c r="AB32" i="94" s="1"/>
  <c r="AF32" i="94" s="1"/>
  <c r="AJ32" i="94" s="1"/>
  <c r="AN32" i="94" s="1"/>
  <c r="AF108" i="81"/>
  <c r="AJ108" i="81" s="1"/>
  <c r="AJ15" i="94"/>
  <c r="AN15" i="94"/>
  <c r="S12" i="94"/>
  <c r="W12" i="94" s="1"/>
  <c r="AA12" i="94" s="1"/>
  <c r="AE12" i="94" s="1"/>
  <c r="AI12" i="94" s="1"/>
  <c r="AM12" i="94" s="1"/>
  <c r="P12" i="94"/>
  <c r="T12" i="94"/>
  <c r="X12" i="94"/>
  <c r="AB12" i="94" s="1"/>
  <c r="AF12" i="94" s="1"/>
  <c r="AJ12" i="94" s="1"/>
  <c r="AN12" i="94" s="1"/>
  <c r="AF18" i="94"/>
  <c r="AJ18" i="94" s="1"/>
  <c r="AN18" i="94" s="1"/>
  <c r="AJ181" i="94"/>
  <c r="AN181" i="94" s="1"/>
  <c r="K16" i="94"/>
  <c r="O16" i="94"/>
  <c r="AF28" i="94"/>
  <c r="AJ28" i="94" s="1"/>
  <c r="AN28" i="94" s="1"/>
  <c r="T80" i="94"/>
  <c r="X80" i="94" s="1"/>
  <c r="AB80" i="94" s="1"/>
  <c r="AF80" i="94" s="1"/>
  <c r="AJ80" i="94" s="1"/>
  <c r="AN80" i="94" s="1"/>
  <c r="AJ88" i="94"/>
  <c r="AN88" i="94"/>
  <c r="AJ29" i="94"/>
  <c r="AN29" i="94" s="1"/>
  <c r="AJ63" i="94"/>
  <c r="AN63" i="94"/>
  <c r="AN85" i="94"/>
  <c r="AJ100" i="94"/>
  <c r="AN100" i="94" s="1"/>
  <c r="AN11" i="94"/>
  <c r="AJ27" i="94"/>
  <c r="AN27" i="94"/>
  <c r="AN169" i="94"/>
  <c r="AN117" i="94"/>
  <c r="AN120" i="94"/>
  <c r="AJ41" i="94"/>
  <c r="AN41" i="94" s="1"/>
  <c r="AF54" i="94"/>
  <c r="AJ54" i="94"/>
  <c r="AN54" i="94" s="1"/>
  <c r="AI187" i="94"/>
  <c r="AM187" i="94"/>
  <c r="F105" i="94"/>
  <c r="F270" i="94" s="1"/>
  <c r="F47" i="94"/>
  <c r="F268" i="94"/>
  <c r="F322" i="94"/>
  <c r="F152" i="94"/>
  <c r="F272" i="94"/>
  <c r="AH34" i="82"/>
  <c r="F34" i="82"/>
  <c r="AL34" i="82"/>
  <c r="F43" i="83"/>
  <c r="AL38" i="97"/>
  <c r="D253" i="97"/>
  <c r="F253" i="97" s="1"/>
  <c r="D251" i="97"/>
  <c r="F251" i="97" s="1"/>
  <c r="D255" i="97"/>
  <c r="F255" i="97" s="1"/>
  <c r="F71" i="97"/>
  <c r="AM43" i="97"/>
  <c r="AP35" i="82"/>
  <c r="AD35" i="82"/>
  <c r="AL35" i="82"/>
  <c r="AH35" i="82"/>
  <c r="F42" i="82"/>
  <c r="F46" i="82"/>
  <c r="AL46" i="82"/>
  <c r="AP46" i="82"/>
  <c r="R46" i="82"/>
  <c r="T46" i="82" s="1"/>
  <c r="AH46" i="82"/>
  <c r="AD48" i="82"/>
  <c r="AL48" i="82"/>
  <c r="D246" i="82"/>
  <c r="F246" i="82" s="1"/>
  <c r="AD46" i="82"/>
  <c r="F147" i="83"/>
  <c r="AH37" i="82"/>
  <c r="AP37" i="82"/>
  <c r="P41" i="82"/>
  <c r="T41" i="82" s="1"/>
  <c r="F162" i="81"/>
  <c r="D210" i="81"/>
  <c r="F210" i="81" s="1"/>
  <c r="D228" i="83"/>
  <c r="F228" i="83" s="1"/>
  <c r="F149" i="83"/>
  <c r="AL40" i="82"/>
  <c r="F40" i="82"/>
  <c r="F44" i="82"/>
  <c r="R44" i="82"/>
  <c r="P44" i="82"/>
  <c r="D242" i="82"/>
  <c r="F242" i="82" s="1"/>
  <c r="F89" i="82"/>
  <c r="P16" i="94"/>
  <c r="S16" i="94"/>
  <c r="W16" i="94"/>
  <c r="AA16" i="94" s="1"/>
  <c r="AE16" i="94" s="1"/>
  <c r="AI16" i="94" s="1"/>
  <c r="AM16" i="94" s="1"/>
  <c r="AP43" i="97"/>
  <c r="AL43" i="97"/>
  <c r="F206" i="83" l="1"/>
  <c r="AN116" i="82"/>
  <c r="AF228" i="82"/>
  <c r="AJ228" i="82" s="1"/>
  <c r="AN228" i="82" s="1"/>
  <c r="AN215" i="82"/>
  <c r="AJ47" i="82"/>
  <c r="AN47" i="82" s="1"/>
  <c r="AN119" i="82"/>
  <c r="S113" i="81"/>
  <c r="W113" i="81" s="1"/>
  <c r="AA113" i="81" s="1"/>
  <c r="AE113" i="81" s="1"/>
  <c r="AI113" i="81" s="1"/>
  <c r="AM113" i="81" s="1"/>
  <c r="P113" i="81"/>
  <c r="T113" i="81" s="1"/>
  <c r="X113" i="81" s="1"/>
  <c r="AB113" i="81" s="1"/>
  <c r="AF113" i="81" s="1"/>
  <c r="AJ113" i="81" s="1"/>
  <c r="AN113" i="81" s="1"/>
  <c r="AN177" i="81"/>
  <c r="AJ19" i="94"/>
  <c r="AN19" i="94" s="1"/>
  <c r="AL43" i="82"/>
  <c r="AF48" i="82"/>
  <c r="AN232" i="82"/>
  <c r="P43" i="82"/>
  <c r="T43" i="82" s="1"/>
  <c r="X43" i="82" s="1"/>
  <c r="AB43" i="82" s="1"/>
  <c r="AN31" i="81"/>
  <c r="AF110" i="82"/>
  <c r="AN125" i="82"/>
  <c r="AJ128" i="82"/>
  <c r="AN128" i="82" s="1"/>
  <c r="AF134" i="82"/>
  <c r="AJ136" i="82"/>
  <c r="AN176" i="82"/>
  <c r="AJ40" i="81"/>
  <c r="AN40" i="81" s="1"/>
  <c r="AN105" i="81"/>
  <c r="AJ134" i="81"/>
  <c r="AN134" i="81" s="1"/>
  <c r="AN142" i="81"/>
  <c r="AJ83" i="82"/>
  <c r="AN83" i="82" s="1"/>
  <c r="AN139" i="82"/>
  <c r="AL41" i="81"/>
  <c r="AH41" i="81"/>
  <c r="R41" i="81"/>
  <c r="T41" i="81" s="1"/>
  <c r="X41" i="81" s="1"/>
  <c r="AB41" i="81" s="1"/>
  <c r="AF41" i="81" s="1"/>
  <c r="N41" i="81"/>
  <c r="AP43" i="82"/>
  <c r="AP41" i="81"/>
  <c r="F41" i="81"/>
  <c r="AN37" i="81"/>
  <c r="AF39" i="81"/>
  <c r="AJ39" i="81" s="1"/>
  <c r="AN39" i="81" s="1"/>
  <c r="Z280" i="83"/>
  <c r="V282" i="83"/>
  <c r="Z282" i="83" s="1"/>
  <c r="AD282" i="83" s="1"/>
  <c r="X85" i="82"/>
  <c r="AB85" i="82" s="1"/>
  <c r="AF85" i="82" s="1"/>
  <c r="AJ85" i="82" s="1"/>
  <c r="AN85" i="82" s="1"/>
  <c r="AN86" i="82"/>
  <c r="P87" i="82"/>
  <c r="T87" i="82" s="1"/>
  <c r="X87" i="82" s="1"/>
  <c r="AB87" i="82" s="1"/>
  <c r="AF87" i="82" s="1"/>
  <c r="AJ87" i="82" s="1"/>
  <c r="AN87" i="82" s="1"/>
  <c r="AB91" i="82"/>
  <c r="AF91" i="82" s="1"/>
  <c r="AJ91" i="82" s="1"/>
  <c r="AN91" i="82" s="1"/>
  <c r="AJ92" i="82"/>
  <c r="AN92" i="82" s="1"/>
  <c r="AJ104" i="82"/>
  <c r="AN104" i="82" s="1"/>
  <c r="AJ110" i="82"/>
  <c r="AN110" i="82" s="1"/>
  <c r="AN113" i="82"/>
  <c r="AJ134" i="82"/>
  <c r="AN134" i="82" s="1"/>
  <c r="AJ143" i="82"/>
  <c r="AN143" i="82" s="1"/>
  <c r="AJ147" i="82"/>
  <c r="AN147" i="82" s="1"/>
  <c r="AN173" i="82"/>
  <c r="AJ37" i="81"/>
  <c r="AB84" i="81"/>
  <c r="AF84" i="81" s="1"/>
  <c r="AJ84" i="81" s="1"/>
  <c r="AN84" i="81" s="1"/>
  <c r="AN136" i="82"/>
  <c r="AJ140" i="82"/>
  <c r="AN140" i="82" s="1"/>
  <c r="AN117" i="81"/>
  <c r="AD43" i="82"/>
  <c r="AJ37" i="82"/>
  <c r="AN37" i="82" s="1"/>
  <c r="S228" i="82"/>
  <c r="W228" i="82" s="1"/>
  <c r="AA228" i="82" s="1"/>
  <c r="AE228" i="82" s="1"/>
  <c r="AI228" i="82" s="1"/>
  <c r="AM228" i="82" s="1"/>
  <c r="AD280" i="83"/>
  <c r="AD40" i="82"/>
  <c r="N40" i="82"/>
  <c r="AH40" i="82"/>
  <c r="AH48" i="82"/>
  <c r="AP48" i="82"/>
  <c r="F48" i="82"/>
  <c r="AN88" i="82"/>
  <c r="AN114" i="82"/>
  <c r="AJ118" i="82"/>
  <c r="AN118" i="82" s="1"/>
  <c r="AJ121" i="82"/>
  <c r="AN121" i="82" s="1"/>
  <c r="AJ123" i="82"/>
  <c r="AN123" i="82" s="1"/>
  <c r="AF141" i="82"/>
  <c r="AJ141" i="82" s="1"/>
  <c r="AN141" i="82" s="1"/>
  <c r="AJ142" i="82"/>
  <c r="AN142" i="82" s="1"/>
  <c r="AN179" i="82"/>
  <c r="AJ226" i="82"/>
  <c r="AN226" i="82" s="1"/>
  <c r="AB43" i="81"/>
  <c r="AF43" i="81" s="1"/>
  <c r="AJ43" i="81" s="1"/>
  <c r="AN43" i="81" s="1"/>
  <c r="AJ44" i="81"/>
  <c r="AN44" i="81" s="1"/>
  <c r="AJ80" i="81"/>
  <c r="AN80" i="81" s="1"/>
  <c r="AN88" i="81"/>
  <c r="AN129" i="81"/>
  <c r="AJ231" i="82"/>
  <c r="AN231" i="82" s="1"/>
  <c r="AF81" i="81"/>
  <c r="AJ81" i="81" s="1"/>
  <c r="AN81" i="81" s="1"/>
  <c r="AN102" i="81"/>
  <c r="AJ171" i="81"/>
  <c r="AN171" i="81" s="1"/>
  <c r="AF35" i="82"/>
  <c r="AB38" i="82"/>
  <c r="AF34" i="82"/>
  <c r="X41" i="82"/>
  <c r="AB41" i="82" s="1"/>
  <c r="X46" i="82"/>
  <c r="AB46" i="82" s="1"/>
  <c r="AJ225" i="81"/>
  <c r="AN225" i="81" s="1"/>
  <c r="AB88" i="81"/>
  <c r="AF88" i="81" s="1"/>
  <c r="AJ88" i="81" s="1"/>
  <c r="AN143" i="81"/>
  <c r="AH16" i="94"/>
  <c r="V16" i="94"/>
  <c r="J16" i="94"/>
  <c r="Z16" i="94"/>
  <c r="AD16" i="94"/>
  <c r="F609" i="104"/>
  <c r="F565" i="104"/>
  <c r="F404" i="104"/>
  <c r="F36" i="104"/>
  <c r="F696" i="104" s="1"/>
  <c r="AJ102" i="81"/>
  <c r="AJ106" i="81"/>
  <c r="AN106" i="81" s="1"/>
  <c r="AJ115" i="81"/>
  <c r="AN115" i="81" s="1"/>
  <c r="AJ123" i="81"/>
  <c r="AN123" i="81" s="1"/>
  <c r="AB223" i="81"/>
  <c r="AF223" i="81" s="1"/>
  <c r="AJ223" i="81" s="1"/>
  <c r="AN223" i="81" s="1"/>
  <c r="AF14" i="94"/>
  <c r="AJ14" i="94" s="1"/>
  <c r="AF17" i="94"/>
  <c r="AJ17" i="94" s="1"/>
  <c r="AN17" i="94" s="1"/>
  <c r="AF19" i="94"/>
  <c r="AN42" i="94"/>
  <c r="T55" i="94"/>
  <c r="X55" i="94" s="1"/>
  <c r="AB55" i="94" s="1"/>
  <c r="AF55" i="94" s="1"/>
  <c r="AJ55" i="94" s="1"/>
  <c r="AN55" i="94" s="1"/>
  <c r="AN24" i="94"/>
  <c r="AB67" i="94"/>
  <c r="AF67" i="94" s="1"/>
  <c r="AJ67" i="94" s="1"/>
  <c r="AN67" i="94" s="1"/>
  <c r="AN132" i="94"/>
  <c r="AF23" i="94"/>
  <c r="S33" i="94"/>
  <c r="W33" i="94" s="1"/>
  <c r="AA33" i="94" s="1"/>
  <c r="AE33" i="94" s="1"/>
  <c r="AI33" i="94" s="1"/>
  <c r="AM33" i="94" s="1"/>
  <c r="P33" i="94"/>
  <c r="T33" i="94" s="1"/>
  <c r="X33" i="94" s="1"/>
  <c r="AB33" i="94" s="1"/>
  <c r="AF33" i="94" s="1"/>
  <c r="AJ33" i="94" s="1"/>
  <c r="AN33" i="94" s="1"/>
  <c r="X225" i="81"/>
  <c r="AB225" i="81" s="1"/>
  <c r="AF225" i="81" s="1"/>
  <c r="T21" i="94"/>
  <c r="X21" i="94" s="1"/>
  <c r="AB21" i="94" s="1"/>
  <c r="AF21" i="94" s="1"/>
  <c r="AJ21" i="94" s="1"/>
  <c r="AN21" i="94" s="1"/>
  <c r="AJ23" i="94"/>
  <c r="AN23" i="94" s="1"/>
  <c r="AN40" i="94"/>
  <c r="AN173" i="94"/>
  <c r="AN191" i="94"/>
  <c r="AF195" i="94"/>
  <c r="L33" i="94"/>
  <c r="F447" i="104"/>
  <c r="F354" i="104"/>
  <c r="F305" i="104"/>
  <c r="AN25" i="94"/>
  <c r="AF26" i="94"/>
  <c r="AJ26" i="94" s="1"/>
  <c r="AN26" i="94" s="1"/>
  <c r="AJ30" i="94"/>
  <c r="AN30" i="94" s="1"/>
  <c r="AF74" i="94"/>
  <c r="AJ74" i="94" s="1"/>
  <c r="AN74" i="94" s="1"/>
  <c r="AJ76" i="94"/>
  <c r="AJ160" i="94"/>
  <c r="AN160" i="94" s="1"/>
  <c r="AJ167" i="94"/>
  <c r="AN167" i="94" s="1"/>
  <c r="AJ193" i="94"/>
  <c r="AN193" i="94" s="1"/>
  <c r="AJ195" i="94"/>
  <c r="AN195" i="94" s="1"/>
  <c r="AN14" i="94"/>
  <c r="T59" i="94"/>
  <c r="X59" i="94" s="1"/>
  <c r="AB59" i="94" s="1"/>
  <c r="AF59" i="94" s="1"/>
  <c r="AJ59" i="94" s="1"/>
  <c r="AN59" i="94" s="1"/>
  <c r="AN76" i="94"/>
  <c r="AN81" i="94"/>
  <c r="AB82" i="94"/>
  <c r="AF82" i="94" s="1"/>
  <c r="AJ82" i="94" s="1"/>
  <c r="AN82" i="94" s="1"/>
  <c r="AJ122" i="94"/>
  <c r="AN122" i="94" s="1"/>
  <c r="AN124" i="94"/>
  <c r="AJ72" i="94"/>
  <c r="AN72" i="94" s="1"/>
  <c r="AN75" i="94"/>
  <c r="AJ116" i="94"/>
  <c r="AN116" i="94" s="1"/>
  <c r="AJ118" i="94"/>
  <c r="AN118" i="94" s="1"/>
  <c r="AJ128" i="94"/>
  <c r="AN128" i="94" s="1"/>
  <c r="AF139" i="94"/>
  <c r="AJ139" i="94" s="1"/>
  <c r="AN139" i="94" s="1"/>
  <c r="AJ135" i="94"/>
  <c r="AN135" i="94" s="1"/>
  <c r="AJ138" i="94"/>
  <c r="AN138" i="94" s="1"/>
  <c r="X142" i="94"/>
  <c r="AB142" i="94" s="1"/>
  <c r="AF142" i="94" s="1"/>
  <c r="AJ142" i="94" s="1"/>
  <c r="AN142" i="94" s="1"/>
  <c r="AF167" i="94"/>
  <c r="F525" i="104"/>
  <c r="F489" i="104"/>
  <c r="F692" i="104"/>
  <c r="F644" i="104"/>
  <c r="F257" i="104"/>
  <c r="F157" i="90"/>
  <c r="F170" i="90" s="1"/>
  <c r="F49" i="90"/>
  <c r="F166" i="90" s="1"/>
  <c r="T40" i="82"/>
  <c r="X40" i="82" s="1"/>
  <c r="AB40" i="82" s="1"/>
  <c r="D305" i="83"/>
  <c r="F305" i="83" s="1"/>
  <c r="D245" i="81"/>
  <c r="F245" i="81" s="1"/>
  <c r="AJ48" i="82"/>
  <c r="AN48" i="82" s="1"/>
  <c r="D270" i="83"/>
  <c r="F270" i="83" s="1"/>
  <c r="AJ35" i="82"/>
  <c r="AN35" i="82" s="1"/>
  <c r="D154" i="83"/>
  <c r="D164" i="83" s="1"/>
  <c r="F164" i="83" s="1"/>
  <c r="D732" i="104"/>
  <c r="F316" i="97"/>
  <c r="F322" i="97"/>
  <c r="D196" i="97"/>
  <c r="D245" i="97" s="1"/>
  <c r="F245" i="97" s="1"/>
  <c r="F320" i="97" s="1"/>
  <c r="D33" i="97"/>
  <c r="F103" i="97"/>
  <c r="F314" i="97" s="1"/>
  <c r="AF201" i="97"/>
  <c r="AJ201" i="97" s="1"/>
  <c r="AN201" i="97" s="1"/>
  <c r="G162" i="89"/>
  <c r="AL41" i="82"/>
  <c r="AP38" i="82"/>
  <c r="D233" i="81"/>
  <c r="F233" i="81" s="1"/>
  <c r="F274" i="81" s="1"/>
  <c r="F290" i="81" s="1"/>
  <c r="AJ36" i="82"/>
  <c r="AN36" i="82" s="1"/>
  <c r="D208" i="81"/>
  <c r="F208" i="81" s="1"/>
  <c r="F214" i="81" s="1"/>
  <c r="F288" i="81" s="1"/>
  <c r="N38" i="82"/>
  <c r="AP41" i="82"/>
  <c r="F14" i="81"/>
  <c r="D18" i="81"/>
  <c r="F18" i="81" s="1"/>
  <c r="AD44" i="82"/>
  <c r="AD39" i="82"/>
  <c r="P39" i="82"/>
  <c r="T39" i="82" s="1"/>
  <c r="X39" i="82" s="1"/>
  <c r="AB39" i="82" s="1"/>
  <c r="N39" i="82"/>
  <c r="F84" i="81"/>
  <c r="I17" i="81"/>
  <c r="AH41" i="82"/>
  <c r="D203" i="82"/>
  <c r="F203" i="82" s="1"/>
  <c r="F14" i="82"/>
  <c r="F62" i="82" s="1"/>
  <c r="F289" i="82" s="1"/>
  <c r="AP39" i="82"/>
  <c r="AL39" i="82"/>
  <c r="N41" i="82"/>
  <c r="AF41" i="82"/>
  <c r="AF46" i="82"/>
  <c r="H24" i="84"/>
  <c r="D268" i="83"/>
  <c r="F268" i="83" s="1"/>
  <c r="D162" i="83"/>
  <c r="D172" i="83" s="1"/>
  <c r="F172" i="83" s="1"/>
  <c r="F154" i="83"/>
  <c r="D250" i="82"/>
  <c r="F250" i="82" s="1"/>
  <c r="F56" i="83"/>
  <c r="D152" i="83"/>
  <c r="AF38" i="82"/>
  <c r="AJ38" i="82" s="1"/>
  <c r="AN38" i="82" s="1"/>
  <c r="F114" i="83"/>
  <c r="F90" i="81"/>
  <c r="F146" i="81" s="1"/>
  <c r="F286" i="81" s="1"/>
  <c r="F102" i="83"/>
  <c r="D300" i="83"/>
  <c r="F300" i="83" s="1"/>
  <c r="F351" i="83" s="1"/>
  <c r="F369" i="83" s="1"/>
  <c r="D158" i="83"/>
  <c r="D168" i="83" s="1"/>
  <c r="F168" i="83" s="1"/>
  <c r="T44" i="82"/>
  <c r="X44" i="82" s="1"/>
  <c r="AB44" i="82" s="1"/>
  <c r="D215" i="82"/>
  <c r="F215" i="82" s="1"/>
  <c r="F219" i="82" s="1"/>
  <c r="F293" i="82" s="1"/>
  <c r="G53" i="89"/>
  <c r="AJ46" i="82"/>
  <c r="AN46" i="82" s="1"/>
  <c r="F151" i="82"/>
  <c r="F291" i="82" s="1"/>
  <c r="F279" i="82"/>
  <c r="F295" i="82" s="1"/>
  <c r="AJ34" i="82"/>
  <c r="AN34" i="82" s="1"/>
  <c r="N42" i="82"/>
  <c r="P42" i="82"/>
  <c r="D156" i="83"/>
  <c r="D39" i="83"/>
  <c r="F39" i="83" s="1"/>
  <c r="AH42" i="82"/>
  <c r="D286" i="83"/>
  <c r="F286" i="83" s="1"/>
  <c r="R42" i="82"/>
  <c r="D280" i="83"/>
  <c r="F280" i="83" s="1"/>
  <c r="F60" i="83"/>
  <c r="AL42" i="82"/>
  <c r="D19" i="83"/>
  <c r="F19" i="83" s="1"/>
  <c r="D37" i="83"/>
  <c r="D14" i="83"/>
  <c r="F14" i="83" s="1"/>
  <c r="D272" i="83"/>
  <c r="F272" i="83" s="1"/>
  <c r="D35" i="83"/>
  <c r="F35" i="83" s="1"/>
  <c r="D160" i="83"/>
  <c r="D230" i="83"/>
  <c r="D33" i="83"/>
  <c r="F33" i="83" s="1"/>
  <c r="AP42" i="82"/>
  <c r="AJ245" i="97"/>
  <c r="AN245" i="97" s="1"/>
  <c r="AJ242" i="97"/>
  <c r="AN242" i="97" s="1"/>
  <c r="AN99" i="97"/>
  <c r="AN104" i="97"/>
  <c r="AN100" i="97"/>
  <c r="AN94" i="97"/>
  <c r="AN97" i="97"/>
  <c r="AN96" i="97"/>
  <c r="AN63" i="97"/>
  <c r="AN66" i="97"/>
  <c r="AN71" i="97"/>
  <c r="AN68" i="97"/>
  <c r="AN56" i="97"/>
  <c r="AN37" i="97"/>
  <c r="AN38" i="97"/>
  <c r="AN36" i="97"/>
  <c r="F60" i="104"/>
  <c r="F58" i="104"/>
  <c r="F105" i="90"/>
  <c r="F168" i="90" s="1"/>
  <c r="AN70" i="97"/>
  <c r="AN98" i="97"/>
  <c r="AM105" i="97"/>
  <c r="AN105" i="97"/>
  <c r="AN67" i="97"/>
  <c r="AN43" i="97"/>
  <c r="AN95" i="97"/>
  <c r="AM103" i="97"/>
  <c r="AN103" i="97"/>
  <c r="AN64" i="97"/>
  <c r="AN65" i="97"/>
  <c r="AN69" i="97"/>
  <c r="D38" i="97"/>
  <c r="F38" i="97" s="1"/>
  <c r="F36" i="97"/>
  <c r="AF43" i="82" l="1"/>
  <c r="AJ43" i="82" s="1"/>
  <c r="AN43" i="82" s="1"/>
  <c r="AF40" i="82"/>
  <c r="AJ40" i="82"/>
  <c r="AN40" i="82" s="1"/>
  <c r="AF44" i="82"/>
  <c r="AJ44" i="82" s="1"/>
  <c r="AN44" i="82" s="1"/>
  <c r="F162" i="83"/>
  <c r="L16" i="94"/>
  <c r="R16" i="94"/>
  <c r="T16" i="94" s="1"/>
  <c r="X16" i="94"/>
  <c r="AB16" i="94" s="1"/>
  <c r="AF16" i="94" s="1"/>
  <c r="AJ16" i="94" s="1"/>
  <c r="AN16" i="94" s="1"/>
  <c r="AJ41" i="81"/>
  <c r="AN41" i="81" s="1"/>
  <c r="F212" i="90"/>
  <c r="D19" i="87" s="1"/>
  <c r="F158" i="83"/>
  <c r="T42" i="82"/>
  <c r="X42" i="82" s="1"/>
  <c r="AB42" i="82" s="1"/>
  <c r="AF42" i="82" s="1"/>
  <c r="AJ42" i="82" s="1"/>
  <c r="AN42" i="82" s="1"/>
  <c r="F117" i="83"/>
  <c r="F363" i="83" s="1"/>
  <c r="AF39" i="82"/>
  <c r="AJ39" i="82" s="1"/>
  <c r="AN39" i="82" s="1"/>
  <c r="F196" i="97"/>
  <c r="F318" i="97" s="1"/>
  <c r="F43" i="97"/>
  <c r="F312" i="97" s="1"/>
  <c r="F33" i="97"/>
  <c r="G158" i="89"/>
  <c r="F346" i="82"/>
  <c r="E349" i="82" s="1"/>
  <c r="AJ41" i="82"/>
  <c r="AN41" i="82" s="1"/>
  <c r="F59" i="81"/>
  <c r="F284" i="81" s="1"/>
  <c r="F341" i="81" s="1"/>
  <c r="E344" i="81" s="1"/>
  <c r="F152" i="83"/>
  <c r="D179" i="83"/>
  <c r="F179" i="83" s="1"/>
  <c r="F48" i="83"/>
  <c r="F361" i="83" s="1"/>
  <c r="F156" i="83"/>
  <c r="D166" i="83"/>
  <c r="F166" i="83" s="1"/>
  <c r="F230" i="83"/>
  <c r="F235" i="83" s="1"/>
  <c r="F367" i="83" s="1"/>
  <c r="D282" i="83"/>
  <c r="F282" i="83" s="1"/>
  <c r="F292" i="83" s="1"/>
  <c r="F160" i="83"/>
  <c r="D170" i="83"/>
  <c r="F170" i="83" s="1"/>
  <c r="F138" i="104"/>
  <c r="F62" i="104"/>
  <c r="F181" i="83" l="1"/>
  <c r="F365" i="83" s="1"/>
  <c r="F310" i="97"/>
  <c r="D13" i="87" s="1"/>
  <c r="F414" i="83"/>
  <c r="F140" i="104"/>
  <c r="F64" i="104"/>
  <c r="F142" i="104" l="1"/>
  <c r="F66" i="104"/>
  <c r="F144" i="104" l="1"/>
  <c r="F68" i="104"/>
  <c r="F146" i="104" l="1"/>
  <c r="F70" i="104"/>
  <c r="F148" i="104" l="1"/>
  <c r="F72" i="104"/>
  <c r="F150" i="104" l="1"/>
  <c r="F74" i="104"/>
  <c r="F152" i="104" l="1"/>
  <c r="F157" i="104" s="1"/>
  <c r="F76" i="104"/>
  <c r="F159" i="104" l="1"/>
  <c r="F80" i="104"/>
  <c r="F104" i="104" s="1"/>
  <c r="F78" i="104"/>
  <c r="F161" i="104" l="1"/>
  <c r="F167" i="104" l="1"/>
  <c r="F165" i="104"/>
  <c r="F209" i="104" s="1"/>
  <c r="G18" i="89" l="1"/>
  <c r="G160" i="89" l="1"/>
  <c r="G207" i="89" l="1"/>
  <c r="D11" i="87" s="1"/>
  <c r="F702" i="104"/>
  <c r="F704" i="104"/>
  <c r="F698" i="104"/>
  <c r="F700" i="104"/>
  <c r="F706" i="104"/>
  <c r="F708" i="104"/>
  <c r="F710" i="104"/>
  <c r="F712" i="104"/>
  <c r="F714" i="104"/>
  <c r="F732" i="104" l="1"/>
  <c r="D15" i="87" s="1"/>
  <c r="D27" i="87"/>
  <c r="D29" i="87" s="1"/>
  <c r="D30" i="87" l="1"/>
  <c r="D33" i="87" s="1"/>
</calcChain>
</file>

<file path=xl/comments1.xml><?xml version="1.0" encoding="utf-8"?>
<comments xmlns="http://schemas.openxmlformats.org/spreadsheetml/2006/main">
  <authors>
    <author>Jackson Nzainga</author>
    <author>losai mgt</author>
  </authors>
  <commentList>
    <comment ref="E39" authorId="0" shapeId="0">
      <text>
        <r>
          <rPr>
            <b/>
            <sz val="9"/>
            <color indexed="81"/>
            <rFont val="Tahoma"/>
            <family val="2"/>
          </rPr>
          <t>Jackson Nzainga:</t>
        </r>
        <r>
          <rPr>
            <sz val="9"/>
            <color indexed="81"/>
            <rFont val="Tahoma"/>
            <family val="2"/>
          </rPr>
          <t xml:space="preserve">
</t>
        </r>
      </text>
    </comment>
    <comment ref="E194" authorId="1" shapeId="0">
      <text>
        <r>
          <rPr>
            <b/>
            <sz val="9"/>
            <color indexed="81"/>
            <rFont val="Tahoma"/>
            <family val="2"/>
          </rPr>
          <t>losai mgt:</t>
        </r>
        <r>
          <rPr>
            <sz val="9"/>
            <color indexed="81"/>
            <rFont val="Tahoma"/>
            <family val="2"/>
          </rPr>
          <t xml:space="preserve">
New rate . Eng Please check</t>
        </r>
      </text>
    </comment>
    <comment ref="E228" authorId="0" shapeId="0">
      <text>
        <r>
          <rPr>
            <b/>
            <sz val="9"/>
            <color indexed="81"/>
            <rFont val="Tahoma"/>
            <family val="2"/>
          </rPr>
          <t>Jackson Nzainga:</t>
        </r>
        <r>
          <rPr>
            <sz val="9"/>
            <color indexed="81"/>
            <rFont val="Tahoma"/>
            <family val="2"/>
          </rPr>
          <t xml:space="preserve">
</t>
        </r>
      </text>
    </comment>
  </commentList>
</comments>
</file>

<file path=xl/sharedStrings.xml><?xml version="1.0" encoding="utf-8"?>
<sst xmlns="http://schemas.openxmlformats.org/spreadsheetml/2006/main" count="3146" uniqueCount="1785">
  <si>
    <t>Item</t>
  </si>
  <si>
    <t>QTY</t>
  </si>
  <si>
    <r>
      <t>m</t>
    </r>
    <r>
      <rPr>
        <vertAlign val="superscript"/>
        <sz val="10"/>
        <rFont val="Arial"/>
        <family val="2"/>
      </rPr>
      <t>3</t>
    </r>
  </si>
  <si>
    <t>Sum</t>
  </si>
  <si>
    <t>ITEM</t>
  </si>
  <si>
    <t>DESCRIPTION</t>
  </si>
  <si>
    <t>UNIT</t>
  </si>
  <si>
    <t>RATE (KShs)</t>
  </si>
  <si>
    <t>AMOUNT (KShs)</t>
  </si>
  <si>
    <t>m</t>
  </si>
  <si>
    <t>nr</t>
  </si>
  <si>
    <t>sum</t>
  </si>
  <si>
    <t>L.S</t>
  </si>
  <si>
    <t>No.</t>
  </si>
  <si>
    <r>
      <t>m</t>
    </r>
    <r>
      <rPr>
        <vertAlign val="superscript"/>
        <sz val="10"/>
        <rFont val="Arial"/>
        <family val="2"/>
      </rPr>
      <t>2</t>
    </r>
  </si>
  <si>
    <t xml:space="preserve"> </t>
  </si>
  <si>
    <t>Baffle walls</t>
  </si>
  <si>
    <t>Formwork</t>
  </si>
  <si>
    <t>L</t>
  </si>
  <si>
    <t>M</t>
  </si>
  <si>
    <t>All steelwork to be completely cleaned by acid dipping prior to galvanising</t>
  </si>
  <si>
    <t>ITEM     NO.</t>
  </si>
  <si>
    <t>The rates shall include for all strutting, shuttering, stabilising the excavation faces, and keeping the excavation free of water by pumping, bailing or other means</t>
  </si>
  <si>
    <t>Kg</t>
  </si>
  <si>
    <t>CLASS I: PIPEWORK - PIPES</t>
  </si>
  <si>
    <t>CLASS J: PIPEWORK - FITTINGS AND VALVES</t>
  </si>
  <si>
    <t>CLASS K: PIPEWORK - MANHOLES AND PIPEWORK ANCILLARIES</t>
  </si>
  <si>
    <t>Chambers</t>
  </si>
  <si>
    <t>CLASS L: PIPEWORK - SUPPORTS AND PROTECTION, ANCILLARIES TO LAYING AND EXCAVATION</t>
  </si>
  <si>
    <t>REINFORCEMENT</t>
  </si>
  <si>
    <t>MISCELLANEOUS WORK</t>
  </si>
  <si>
    <t>Excavations shall include for strutting. Shuttering, stabilizing excavated surfaces and keeping excavations free of water bailing out, pumping or other means</t>
  </si>
  <si>
    <t>ITEM      NO.</t>
  </si>
  <si>
    <t>EARTHWORKS</t>
  </si>
  <si>
    <t>`</t>
  </si>
  <si>
    <t>m3</t>
  </si>
  <si>
    <t>General clearance</t>
  </si>
  <si>
    <t>ha</t>
  </si>
  <si>
    <t>PAGE 12 TOTAL</t>
  </si>
  <si>
    <t>PAGE 13 TOTAL</t>
  </si>
  <si>
    <t>PAGE 14 TOTAL</t>
  </si>
  <si>
    <t>PAGE 16 TOTAL</t>
  </si>
  <si>
    <t>FENCING AND GATES</t>
  </si>
  <si>
    <t>Nr</t>
  </si>
  <si>
    <t>ROADS AND FOOTPATHS</t>
  </si>
  <si>
    <t>Kerbs and Channels</t>
  </si>
  <si>
    <t>Provide, lay and joint 255 mm x 125 mm precast concrete kerbs on and including 250 mm x 100 mm Class 15/20 concrete foundation and haunch 125 mm thick including all excavation, shuttering, jointing and bedding as specified</t>
  </si>
  <si>
    <t>E.O. Item 2.2.1 for kerbs laid to radius n.e. 20 m</t>
  </si>
  <si>
    <t>2.2.3</t>
  </si>
  <si>
    <t>Provide, lay and joint 125 mm x 100 mm precast concrete channels on and including 225 mm x 125 mm Class 15/40 concrete bed and haunch 100 mm thick including all excavation, shuttering, jointing and bedding as specified</t>
  </si>
  <si>
    <t>2.2.4</t>
  </si>
  <si>
    <t>E.O. Item for channels laid to radius n.e. 3.0m</t>
  </si>
  <si>
    <t>2.2.5</t>
  </si>
  <si>
    <t>-Ditto - but for channels laid to radius n.e. 6.0m</t>
  </si>
  <si>
    <t>Concrete Block Paved Roads</t>
  </si>
  <si>
    <t>Sub-Base and Base Courses: Provide, Lay and Compact to required relative density as per Clause 304 of Specifications:</t>
  </si>
  <si>
    <t>Hand packed hardcore compacted to CBR not less than 30 up to formation level (where road is in fill)</t>
  </si>
  <si>
    <t>Base 200mm thick crusher run or quarry chips (hand packed), including for watering and stone dust blinding as directed.</t>
  </si>
  <si>
    <t>200mm murram, include for watering and stone dust blinding as directed</t>
  </si>
  <si>
    <t>Provide and apply approved weed killer / herbicide to road surface in accordance with manufacturer's instructions</t>
  </si>
  <si>
    <t>Concrete Block Paving (as Manufactured by Bamburi Special Products Ltd. or Other Approved Supplier)</t>
  </si>
  <si>
    <t>Footpaths</t>
  </si>
  <si>
    <t>Provide and lay:</t>
  </si>
  <si>
    <t>100mm murram sub-base, compacted to Engineer's approval</t>
  </si>
  <si>
    <t>50mm thick concrete bed for footpath (Class 15)</t>
  </si>
  <si>
    <t>No</t>
  </si>
  <si>
    <t>PC</t>
  </si>
  <si>
    <t>%</t>
  </si>
  <si>
    <t>FORMWORK</t>
  </si>
  <si>
    <t xml:space="preserve">Bends </t>
  </si>
  <si>
    <t>5</t>
  </si>
  <si>
    <t>CLASS A: GENERAL ITEMS</t>
  </si>
  <si>
    <t>Allow for Provision of:</t>
  </si>
  <si>
    <t>month</t>
  </si>
  <si>
    <t>1A221.5</t>
  </si>
  <si>
    <t>1A231.1</t>
  </si>
  <si>
    <t>1A241</t>
  </si>
  <si>
    <t>Method Related Charges</t>
  </si>
  <si>
    <t>Total Page 1</t>
  </si>
  <si>
    <t>Total Page 2</t>
  </si>
  <si>
    <t>Total Page 3</t>
  </si>
  <si>
    <t>Total Page 4</t>
  </si>
  <si>
    <t>GENERAL</t>
  </si>
  <si>
    <t>1.1.1</t>
  </si>
  <si>
    <t>Water Tightness Testing of the Tank in accordance with the Specifications to the satisfaction of the Engineer.  Include for provision of water from approved source.</t>
  </si>
  <si>
    <t>1.1.2</t>
  </si>
  <si>
    <t>1.1.3</t>
  </si>
  <si>
    <t>Pressure Testing, Cleansing and Sterilisation of all Tank Pipework (Inlet, Outlet, Washout, Overflow) in accordance with Specifications.  Rate to include for provision of water, all required chemicals and carrying out relevant tests as well as safe disposal of used water, all to Engineer's approval.</t>
  </si>
  <si>
    <t>Excavate below stripped level to formation level in common material, part backfill after construction and remainder, cart away to tips identified by the Contractor in liaison with Local Authorities or use as fill on site, all as directed by the Engineer.</t>
  </si>
  <si>
    <t>1.2.1</t>
  </si>
  <si>
    <t>1.2.2</t>
  </si>
  <si>
    <t>1.2.3</t>
  </si>
  <si>
    <t>-Ditto- but maximum depth 2.0 m to 5.0 m</t>
  </si>
  <si>
    <t>1.2.4</t>
  </si>
  <si>
    <t>1.2.5</t>
  </si>
  <si>
    <t xml:space="preserve">Provide and place approved hardcore packing, hand packed and compacted to Egineer's approval, maximum 300mm thick layer.  Rate to include for provision, packing and compaction. </t>
  </si>
  <si>
    <t>1.2.6</t>
  </si>
  <si>
    <t>1.2.7</t>
  </si>
  <si>
    <t>1.2.8</t>
  </si>
  <si>
    <t>CONCRETE WORKS</t>
  </si>
  <si>
    <t>Provide, Mix and Place Concrete as Directed</t>
  </si>
  <si>
    <t>1.3.1</t>
  </si>
  <si>
    <t>Plain concrete Class 15/20 in 75mm thick blinding layer under base slab of tank</t>
  </si>
  <si>
    <t>1.3.2</t>
  </si>
  <si>
    <t>Base - external walls base including key and splay</t>
  </si>
  <si>
    <t>1.3.3</t>
  </si>
  <si>
    <t xml:space="preserve">Base - Internal Partition wall </t>
  </si>
  <si>
    <t>1.3.4</t>
  </si>
  <si>
    <t>Base slab -including sloping faces</t>
  </si>
  <si>
    <t>1.3.5</t>
  </si>
  <si>
    <t>Bases to columns</t>
  </si>
  <si>
    <t>1.3.6</t>
  </si>
  <si>
    <t>Bases to internal baffle walls</t>
  </si>
  <si>
    <t>1.3.7</t>
  </si>
  <si>
    <t>Base to overflow chamber</t>
  </si>
  <si>
    <t>1.3.8</t>
  </si>
  <si>
    <t>Roof slab including all upstands</t>
  </si>
  <si>
    <t>1.3.9</t>
  </si>
  <si>
    <t>External walls (thickness 500 mm)</t>
  </si>
  <si>
    <t>External walls (thickness 300 mm)</t>
  </si>
  <si>
    <t>1.3.12</t>
  </si>
  <si>
    <t>1.3.13</t>
  </si>
  <si>
    <t>Walls - washout sump</t>
  </si>
  <si>
    <t>1.3.14</t>
  </si>
  <si>
    <t>Walls - overflow chamber</t>
  </si>
  <si>
    <t>Column Heads</t>
  </si>
  <si>
    <t>Provide and Fix High Tensile Steel Reinforcement to SRN 127 including Ctting, Bending, Propping with  Spacers and Tying as specified :-</t>
  </si>
  <si>
    <t>1.4.1</t>
  </si>
  <si>
    <t>Reinforcement Bars, all diameters</t>
  </si>
  <si>
    <t>1.4.2</t>
  </si>
  <si>
    <t>Provide and Fix Shuttering Including Propping, Strutting and Striking, all as specified.  Rate to include for formation of chamfers at concrete edges where specified.</t>
  </si>
  <si>
    <t>1.5.1</t>
  </si>
  <si>
    <t>External sides of 200 mm base slab of tank</t>
  </si>
  <si>
    <t>Sides of key; width 0.4 m to 1.0 m</t>
  </si>
  <si>
    <t xml:space="preserve">External sides of washout sump, width 1.0 m </t>
  </si>
  <si>
    <t>Internal sides of washout sumps, width 0.4 m to 1.0 m</t>
  </si>
  <si>
    <t>1.5.5</t>
  </si>
  <si>
    <t>Inner sides of access and inspection manholes, width 0.4 m to 2.0 m</t>
  </si>
  <si>
    <t>1.5.6</t>
  </si>
  <si>
    <t xml:space="preserve">Sides of partition wall base slab, width n.e. 0.5m </t>
  </si>
  <si>
    <t>Sides of overflow chamber, width 1.0 m to 1.5 m</t>
  </si>
  <si>
    <t>Outer sides of access and inspection manholes upstands, 300 mm high; width 1.0 m to 2.0 m</t>
  </si>
  <si>
    <t>Inner sides of roof upstands 300 mm high, width exceeding 2 m</t>
  </si>
  <si>
    <t>Outer sides of roof upstands 550 mm high width exceeding 2 m</t>
  </si>
  <si>
    <t>Outer sides of external walls, width exceeding 2 m</t>
  </si>
  <si>
    <t>Inner sides of external walls, wall thickness 0.3m to 0.5m, width exceeding 2.0 m</t>
  </si>
  <si>
    <t>Sides of partition wall, width exceeding 2.0m</t>
  </si>
  <si>
    <t>Baffle walls, width exceeding 2.0 m</t>
  </si>
  <si>
    <t>Sides of columns; width 0.3 m</t>
  </si>
  <si>
    <t>Sides of columns; width 0.1 m</t>
  </si>
  <si>
    <t>Sides of column bases; width 0.3 m</t>
  </si>
  <si>
    <t>Sides of baffle walls bases; width 0.3 m</t>
  </si>
  <si>
    <t>Soffits of overflow channel</t>
  </si>
  <si>
    <t>Splay on wall at overflow chamber, width 0.1 m to 0.3 m</t>
  </si>
  <si>
    <t>Splay on base slab, width 0.1 m 0.3 m</t>
  </si>
  <si>
    <t>Splay in wall, width 0.1 m to 0.3 m</t>
  </si>
  <si>
    <t>Splay at column heads, width 0.4 m to 1.0 m</t>
  </si>
  <si>
    <t>Allow for 75 mm x 75 mm rebate in walls of overflow chamber for precast concrete slabs</t>
  </si>
  <si>
    <t>- Ditto - but 50 mm x 50 mm rebates for manhole covers</t>
  </si>
  <si>
    <t>Allow for fillet to form 25 mm x 25 mm chamfer for all exposed concrete edges</t>
  </si>
  <si>
    <t>Allow for 12 mm dia. half round fillet for drip mould round soffit of roof slab overhang</t>
  </si>
  <si>
    <t>Boxing out for 500 mm diameter outlet pipe in 200mm thick concrete base slab of tank and making good after installation of pipework</t>
  </si>
  <si>
    <t>Boxing out for 500 mm diameter overflow pipe in 200mm thick concrete base of overflow chamber and making good after installation of pipework</t>
  </si>
  <si>
    <t>- Ditto - but for 250mm diameter scour pipe in 200mm thick concrete wall of scour sump</t>
  </si>
  <si>
    <t>- Ditto - but for 250mm diameter scour pipe in 500mm thick concrete walls</t>
  </si>
  <si>
    <t>CONSTRUCTION JOINTS - WATER BARS</t>
  </si>
  <si>
    <t>Provide and install the following waterstops in construction joints including all surface treatment, formwork, forming of rebate and sealing of rebate with polysulphide sealant, all as per drawings and specification</t>
  </si>
  <si>
    <t>Open surface with filler, average width n.e. 0.5 m</t>
  </si>
  <si>
    <t>Formed surface with filler, average width n.e. 0.5 m</t>
  </si>
  <si>
    <t>uPVC horizontal waterstops, rear guard type, width 200 mm</t>
  </si>
  <si>
    <t>uPVC vertical waterstops, width 200 mm</t>
  </si>
  <si>
    <t>Sealed 20 mm x 20 mm rebates with polysulphide joint sealant</t>
  </si>
  <si>
    <t>PIPEWORK - FITTINGS &amp; VALVES</t>
  </si>
  <si>
    <t>Supply, Transport to Site and Store in Secure Place, Including all Jointing Material, Bolts, Gaskets, Packing, Jointing Glues, etc. as Applicable</t>
  </si>
  <si>
    <t>500mm dia. Plain ended pipe, 1200mm long with puddle flange at 450mm from one end (Mark 15)</t>
  </si>
  <si>
    <t>500mm dia. Electromagnetic Water Meter, complete with all requisite accesories (Mark 16)</t>
  </si>
  <si>
    <t>METALWORK</t>
  </si>
  <si>
    <t>Rate to include for, but not limited to all fabrication, welding, jointing, galvanizing, painting works, transportation to site and installation; including rawl bolts, hinges, locking mechanisms, etc. where applicable.  All to Engineer's approval.</t>
  </si>
  <si>
    <t>Supply and Install:</t>
  </si>
  <si>
    <t>-Ditto- but for Galvanized Mild Steel ladders, height n.e 6000mm installed externally to the tank</t>
  </si>
  <si>
    <t xml:space="preserve">Ditto - but over inspection manholes to tank for manhole size 2000mmx1600mm </t>
  </si>
  <si>
    <t>Provide and Place</t>
  </si>
  <si>
    <t>3 layers of 4mm thick, 300mm wide, joint filling material at wall to roof slab interface - Polyflex APP modified Membrane as supplied by Kenbro Industries or approved equivalent - including all surface preparation, etc., to the manufacturer's detailed instructions.</t>
  </si>
  <si>
    <t>Gauge 1000 polythene sheeting on blinding below base slab</t>
  </si>
  <si>
    <t>150 mm thick layer of pumice on roof slab of tank</t>
  </si>
  <si>
    <t>Supply and install vent pipes on roof of tank as per details . Rate to include for painting with 3 coats of approved epoxy paint on one coat of aproved primer.</t>
  </si>
  <si>
    <t>DEMOLITION, SITE CLEARANCE AND GENERAL EXCAVATION</t>
  </si>
  <si>
    <t>2.1.1</t>
  </si>
  <si>
    <t>Clear area within the Storage Reservoir site of all grass, bushes, shrubs, hedges, grub up roots and cart away to approved tips identified by the Contractor in liaison with Local Authorities, all as directed by the Engineer</t>
  </si>
  <si>
    <t>2.1.2</t>
  </si>
  <si>
    <t>Cut down trees, grub up roots and cart away to approved tips identified by the Contractor in liaison with Local Authorities, all as directed by the Engineer. Girth n.e. 1.2m</t>
  </si>
  <si>
    <t>2.1.3</t>
  </si>
  <si>
    <t>-Ditto- but girth 1.2 - 2.4m</t>
  </si>
  <si>
    <t>Top Soil Stripping</t>
  </si>
  <si>
    <t>2.1.5</t>
  </si>
  <si>
    <t>Excavate over site for structures, roads, etc. average 150mm deep to remove vegetable soil and stack part of material for use as and where directed by the Engineer, cart away surplus to tips identified by the Contractor in liaision with the Local Authorities</t>
  </si>
  <si>
    <t>Earthworks and Grading</t>
  </si>
  <si>
    <t>2.1.6</t>
  </si>
  <si>
    <t>Excavate approximately 300mm below stripped surface to formation level of roads, footpaths and verges including compaction of areas, stack approved material for reuse as fill and cart away surplus to approved tips identified by he Contractor in liaison with the Local Authorities, all as directed by the Engineer</t>
  </si>
  <si>
    <t>Fill using approved suitable excavated material stacked on site, compact in 150mm layers as specified under roads and verges compacted to suitable density as per Clause 304 of the Specifications.  Compaction tests to be carried out and rates to inlcude for it.</t>
  </si>
  <si>
    <t>-Ditto- around the Tank, including cutting and trimming of slopes</t>
  </si>
  <si>
    <t>Fill using approved imported material, compact in 150mm layers as specified. Compact to suitable density as per Clause 304 of the Specifications.  Compaction tests to be carried out and rates to inlcude for it.  Contractor to identify suitable borrow pits as source of material.</t>
  </si>
  <si>
    <t>Spread top soil stacked on site for reuse (Item 2.1.5) level and prepare for grassing and landscaping.  Plant approved grass and maintain until it takes roots</t>
  </si>
  <si>
    <t>2.2.1</t>
  </si>
  <si>
    <t>2.2.2</t>
  </si>
  <si>
    <t>Precast concrete paving in 600mm x 600mm x 50mm slabs jointed and grouted up in lime and sand (1:3)</t>
  </si>
  <si>
    <t>2.3.1</t>
  </si>
  <si>
    <t>2.3.2</t>
  </si>
  <si>
    <t>SURFACE WATER DRAINAGE</t>
  </si>
  <si>
    <t>Precast Concrete Drains</t>
  </si>
  <si>
    <t>2.4.1</t>
  </si>
  <si>
    <t>2.4.2</t>
  </si>
  <si>
    <t>-Ditto - but depth exceeding 1.0m</t>
  </si>
  <si>
    <t>2.4.3</t>
  </si>
  <si>
    <t>Provide, lay and joint precast concrete invert block drain Type 'A' on 100mm murram bed, including 75mm murram filling both sides for height of block</t>
  </si>
  <si>
    <t>2.4.4</t>
  </si>
  <si>
    <t>E.O. item 2.4.3 above for provisions, laying and jointing two courses (one each side) of precast concrete side slabs to Type 'A' drain on 75mm thick compacted murram bed</t>
  </si>
  <si>
    <t>2.4.5</t>
  </si>
  <si>
    <t>-Ditto - but with 4 courses (two on each side)</t>
  </si>
  <si>
    <t>2.4.6</t>
  </si>
  <si>
    <t>-Ditto - but with 6 courses (three on each side)</t>
  </si>
  <si>
    <t>2.4.7</t>
  </si>
  <si>
    <t>Provide, lay and joint to any radius, precast concrete invert block drain on 100mm murram bed including 75mm murram filling both sides for height of block.  Price to include for all cutting, waste, etc.</t>
  </si>
  <si>
    <t>20</t>
  </si>
  <si>
    <t>2.4.8</t>
  </si>
  <si>
    <t>E.O. item 2.4.7 above for provision, laying and jointing two courses (one each side) of precast concrete side slabs to invert block drain on 75mm block compacted murram bed.  Price to include for all cutting, waste, etc.</t>
  </si>
  <si>
    <t>Culvert Pipes and Storm Water Sewers (Provisional)</t>
  </si>
  <si>
    <t>Excavate trench depth n.e. 2.5 m, supply, lay and joint   600mm diameter precast concrete ogee pipes including concrete haunch and surround, backfill after laying of pipes, compact and cart away surplus material to tips</t>
  </si>
  <si>
    <t>Headwalls</t>
  </si>
  <si>
    <t>SCOUR / OVERFLOW DRAINAGE PIPELINE</t>
  </si>
  <si>
    <t>Excavate trench for 525mm dia. concrete S&amp;S pipe for Scour/ Overflow drainage pipework, backfill after laying of pipes and cart away surplus to tips identified by the Contractor in liaison with Local Authorities as directed.  Average depth n.e. 3.0m (Provisional)</t>
  </si>
  <si>
    <t>Supply, lay, joint and test 525mm dia. concrete S&amp;S pipes including Type 'BO' bed and surround.(Provisional length)</t>
  </si>
  <si>
    <t>Manholes (Provisional)</t>
  </si>
  <si>
    <t>VALVE CHAMBERS</t>
  </si>
  <si>
    <t>MISCELLANEOUS</t>
  </si>
  <si>
    <t>P.S</t>
  </si>
  <si>
    <t>COMPACTION TESTS AND COMPACTION OF TANK FORMATION SURFACE</t>
  </si>
  <si>
    <t>Allow for carrying out onsite compaction tests at formation levels of Tank structure using the Sand Displacement Method or other approved in-situ method. Rate to include for provision of all apparatus and materials and carrying out the test as per standard procedures.  Tests to be carried out on at least 2Nr. locations on the Reservoir base to be selected by the Engineer.</t>
  </si>
  <si>
    <t>Allow for compaction of formation surface of the Tank if deemed necessary upon compaction tests.  Rate to include for provision of adequate vibrating compaction equipment and compaction of formation level to relative density of 98% MDD; all as per Clause 304 of the Specifications.</t>
  </si>
  <si>
    <t>BROUGHT FORWARD FROM PAGE 1</t>
  </si>
  <si>
    <t>BROUGHT FORWARD FROM PAGE 2</t>
  </si>
  <si>
    <t>BROUGHT FORWARD FROM PAGE 3</t>
  </si>
  <si>
    <t>1.1</t>
  </si>
  <si>
    <t>1.3.10</t>
  </si>
  <si>
    <t>1.3.11</t>
  </si>
  <si>
    <t>1.5.1.1</t>
  </si>
  <si>
    <t>2.1.4</t>
  </si>
  <si>
    <t>BILL NO. 1 - PRELIMINARIES AND GENERAL ITEMS</t>
  </si>
  <si>
    <t>CLASS A  - GENERAL ITEMS</t>
  </si>
  <si>
    <t>Specified Requirements</t>
  </si>
  <si>
    <t>Offices and Accomodation for the Engineer's Staff</t>
  </si>
  <si>
    <t>Services for Engineer's Staff</t>
  </si>
  <si>
    <t>km</t>
  </si>
  <si>
    <t>PS</t>
  </si>
  <si>
    <t>Equipment for Engineer's Staff</t>
  </si>
  <si>
    <t>Attendance Upon Engineer's Staff</t>
  </si>
  <si>
    <t>Testing of Materials and Works</t>
  </si>
  <si>
    <t>Other Provisional sums</t>
  </si>
  <si>
    <t>Accomodation, Buildings and Services</t>
  </si>
  <si>
    <t>In addition to the items listed hereunder, a tenderer is to insert such items as he may decide to cover, items of work relating to his intended method of executing the works, costs of which are not to be considered as allowed in the rates and prices for the other items.</t>
  </si>
  <si>
    <t>Establish, maintain and remove Contractor's camp including offices, stores, laboratories, cabins, canteens etc and services including electricity, water, security, transport, staff welfare etc</t>
  </si>
  <si>
    <t>BILL 5 - RISING MAIN</t>
  </si>
  <si>
    <t>Testing of works</t>
  </si>
  <si>
    <t>Carry out pressure testing, cleansing and sterilising of the pipeline in accordance with clauses 440 and 441 of the specification.</t>
  </si>
  <si>
    <t>3A260.1</t>
  </si>
  <si>
    <t>DN500 steel pipes to 200m maximum test pressure</t>
  </si>
  <si>
    <t>CLASS D:DEMOLITION AND SITE CLEARANCE</t>
  </si>
  <si>
    <t>3D100</t>
  </si>
  <si>
    <t>General clearance for pipeline for full width of easement including grubbing out all shrubs etc and removal of all trees of girth &lt; 0.5m</t>
  </si>
  <si>
    <t>3D210</t>
  </si>
  <si>
    <t>Tree girth 0.5 - 1.0m</t>
  </si>
  <si>
    <t>3D220</t>
  </si>
  <si>
    <t>Tree girth 1.0 - 2.0m</t>
  </si>
  <si>
    <t>3D310</t>
  </si>
  <si>
    <t>Tree girth 2.0 - 3.0m</t>
  </si>
  <si>
    <r>
      <rPr>
        <b/>
        <i/>
        <u/>
        <sz val="10"/>
        <rFont val="Arial"/>
        <family val="2"/>
      </rPr>
      <t>PN20 Pipes, cement mortar lined and epoxy coated socket to spigot with rubber ring jointed to Clause 408:</t>
    </r>
    <r>
      <rPr>
        <i/>
        <u/>
        <sz val="10"/>
        <rFont val="Arial"/>
        <family val="2"/>
      </rPr>
      <t xml:space="preserve"> Supply and transport pipes, break out surface, excavate trench, cut and lay pipes, backfill with selected material from the trench excavations and compact, disposal of surplus all as specified, shoring Sides of Excavation trenches, Backfilling and final Reinstatement. </t>
    </r>
  </si>
  <si>
    <t>2I441.1</t>
  </si>
  <si>
    <t>Nominal bore 500mm not in trenches</t>
  </si>
  <si>
    <t>2I442.1</t>
  </si>
  <si>
    <t>Nominal bore 500mm in trenches, depth not exceeding 1.5m</t>
  </si>
  <si>
    <t>2I443.1</t>
  </si>
  <si>
    <t>-Ditto- but depth 1.5m - 2m</t>
  </si>
  <si>
    <t>2I444.1</t>
  </si>
  <si>
    <t>-Ditto- but depth 2.0m - 2.5m</t>
  </si>
  <si>
    <t>2I445.1</t>
  </si>
  <si>
    <t>-Ditto- but depth 2.5m - 3.0m</t>
  </si>
  <si>
    <t>2I446.1</t>
  </si>
  <si>
    <t>-Ditto- but depth 3.0m - 3.5m</t>
  </si>
  <si>
    <t>2I447.1</t>
  </si>
  <si>
    <t>-Ditto- but depth 3.5m - 4.0m</t>
  </si>
  <si>
    <t>2I448.1</t>
  </si>
  <si>
    <t>-Ditto- but depth exceeding 4m</t>
  </si>
  <si>
    <t>3I011</t>
  </si>
  <si>
    <t>DN 80 in trenches depth n.e 1.5m.</t>
  </si>
  <si>
    <t>3I031</t>
  </si>
  <si>
    <t>DN 400 in trenches depth n.e 1.5m.</t>
  </si>
  <si>
    <t>3I032</t>
  </si>
  <si>
    <t>Ditto but depth 1.5 - 2m</t>
  </si>
  <si>
    <t>3I033</t>
  </si>
  <si>
    <t>Ditto but depth 2.0 - 2.5m</t>
  </si>
  <si>
    <t>Ditto but depth 2.5 - 3.0 m</t>
  </si>
  <si>
    <t>PAGE TOTAL CARRIED TO COLECTION PAGE</t>
  </si>
  <si>
    <t>Ditto but depth 3.0 - 3.5m</t>
  </si>
  <si>
    <t>All steel fittings to be Epoxy Coated and Lined.  Flanges to  NP20 for all fittings and valves</t>
  </si>
  <si>
    <t>Rates to include for provision and fixing.  Flanges to PN 10 steel unless otherwise stated</t>
  </si>
  <si>
    <t>Bends - Short Radius</t>
  </si>
  <si>
    <t>Single flanged</t>
  </si>
  <si>
    <t>3J311</t>
  </si>
  <si>
    <r>
      <t>DN 80 GS, 90</t>
    </r>
    <r>
      <rPr>
        <vertAlign val="superscript"/>
        <sz val="10"/>
        <rFont val="Arial"/>
        <family val="2"/>
      </rPr>
      <t>o</t>
    </r>
  </si>
  <si>
    <t>Pipeline Horizontal and Vertical Bends</t>
  </si>
  <si>
    <t>2J313.1</t>
  </si>
  <si>
    <r>
      <t>Nominal bore 500mm double socketted 11¼</t>
    </r>
    <r>
      <rPr>
        <vertAlign val="superscript"/>
        <sz val="10"/>
        <rFont val="Arial"/>
        <family val="2"/>
      </rPr>
      <t>o</t>
    </r>
    <r>
      <rPr>
        <sz val="10"/>
        <rFont val="Arial"/>
        <family val="2"/>
      </rPr>
      <t xml:space="preserve"> bend</t>
    </r>
  </si>
  <si>
    <t>2J313.2</t>
  </si>
  <si>
    <r>
      <t>Nominal bore 500mm double socketted 22½</t>
    </r>
    <r>
      <rPr>
        <vertAlign val="superscript"/>
        <sz val="10"/>
        <rFont val="Arial"/>
        <family val="2"/>
      </rPr>
      <t>o</t>
    </r>
    <r>
      <rPr>
        <sz val="10"/>
        <rFont val="Arial"/>
        <family val="2"/>
      </rPr>
      <t xml:space="preserve"> bend</t>
    </r>
  </si>
  <si>
    <t>2J313.3</t>
  </si>
  <si>
    <r>
      <t>Nominal bore 500mm double socketted  30</t>
    </r>
    <r>
      <rPr>
        <vertAlign val="superscript"/>
        <sz val="10"/>
        <rFont val="Arial"/>
        <family val="2"/>
      </rPr>
      <t>o</t>
    </r>
    <r>
      <rPr>
        <sz val="10"/>
        <rFont val="Arial"/>
        <family val="2"/>
      </rPr>
      <t xml:space="preserve"> bend</t>
    </r>
  </si>
  <si>
    <t>2J313.4</t>
  </si>
  <si>
    <r>
      <t>Nominal bore 500mm double socketted  45</t>
    </r>
    <r>
      <rPr>
        <vertAlign val="superscript"/>
        <sz val="10"/>
        <rFont val="Arial"/>
        <family val="2"/>
      </rPr>
      <t>o</t>
    </r>
    <r>
      <rPr>
        <sz val="10"/>
        <rFont val="Arial"/>
        <family val="2"/>
      </rPr>
      <t xml:space="preserve"> bend</t>
    </r>
  </si>
  <si>
    <t>2J313.5</t>
  </si>
  <si>
    <r>
      <t>Nominal bore 500mm double socketted  90</t>
    </r>
    <r>
      <rPr>
        <vertAlign val="superscript"/>
        <sz val="10"/>
        <rFont val="Arial"/>
        <family val="2"/>
      </rPr>
      <t>o</t>
    </r>
    <r>
      <rPr>
        <sz val="10"/>
        <rFont val="Arial"/>
        <family val="2"/>
      </rPr>
      <t xml:space="preserve"> bend</t>
    </r>
  </si>
  <si>
    <t>Plain ended</t>
  </si>
  <si>
    <t>3J313.1</t>
  </si>
  <si>
    <r>
      <t>DN 400, 45</t>
    </r>
    <r>
      <rPr>
        <vertAlign val="superscript"/>
        <sz val="10"/>
        <rFont val="Arial"/>
        <family val="2"/>
      </rPr>
      <t>o</t>
    </r>
  </si>
  <si>
    <t>3J313.2</t>
  </si>
  <si>
    <r>
      <t>DN 400, 30</t>
    </r>
    <r>
      <rPr>
        <vertAlign val="superscript"/>
        <sz val="10"/>
        <rFont val="Arial"/>
        <family val="2"/>
      </rPr>
      <t>o</t>
    </r>
  </si>
  <si>
    <r>
      <t>DN 400, 22.5</t>
    </r>
    <r>
      <rPr>
        <vertAlign val="superscript"/>
        <sz val="10"/>
        <rFont val="Arial"/>
        <family val="2"/>
      </rPr>
      <t>o</t>
    </r>
  </si>
  <si>
    <t>3J313.3</t>
  </si>
  <si>
    <r>
      <t>DN 400, 11.25</t>
    </r>
    <r>
      <rPr>
        <vertAlign val="superscript"/>
        <sz val="10"/>
        <rFont val="Arial"/>
        <family val="2"/>
      </rPr>
      <t>o</t>
    </r>
  </si>
  <si>
    <t>Air Valves and Washouts Fittings</t>
  </si>
  <si>
    <t>Bends (NP20)</t>
  </si>
  <si>
    <t>2J311.1</t>
  </si>
  <si>
    <r>
      <t>Nominal bore 100mm, flanged plain ended 90</t>
    </r>
    <r>
      <rPr>
        <vertAlign val="superscript"/>
        <sz val="10"/>
        <rFont val="Arial"/>
        <family val="2"/>
      </rPr>
      <t>o</t>
    </r>
    <r>
      <rPr>
        <sz val="10"/>
        <rFont val="Arial"/>
        <family val="2"/>
      </rPr>
      <t xml:space="preserve"> bend (for Type 1 Washouts)</t>
    </r>
  </si>
  <si>
    <t>2J311.2</t>
  </si>
  <si>
    <r>
      <t>Nominal bore 100mm, double flanged long radius 90</t>
    </r>
    <r>
      <rPr>
        <vertAlign val="superscript"/>
        <sz val="10"/>
        <rFont val="Arial"/>
        <family val="2"/>
      </rPr>
      <t>o</t>
    </r>
    <r>
      <rPr>
        <sz val="10"/>
        <rFont val="Arial"/>
        <family val="2"/>
      </rPr>
      <t xml:space="preserve"> bend (for air valves vents)</t>
    </r>
  </si>
  <si>
    <t>Junctions and Branches (NP20)</t>
  </si>
  <si>
    <t>2J323.1</t>
  </si>
  <si>
    <t>Nominal bore 500mm x 100mm double socket tee with flanged branch tee (for Air Valves)</t>
  </si>
  <si>
    <t>2J323.2</t>
  </si>
  <si>
    <t>Nominal bore 500mm x 100mm double socket with flanged branch level invert tee (for Washouts)</t>
  </si>
  <si>
    <t>Double Collars to PN20 as specified</t>
  </si>
  <si>
    <t>2J341.1</t>
  </si>
  <si>
    <t>Nominal bore 100mm flexible coupling</t>
  </si>
  <si>
    <t>2J344.1</t>
  </si>
  <si>
    <t>Nominal bore 600mm flexible coupling</t>
  </si>
  <si>
    <t>Adaptors (NP20)</t>
  </si>
  <si>
    <t>2J351.1</t>
  </si>
  <si>
    <t>Nominal bore 100mm flange adaptor</t>
  </si>
  <si>
    <t>Straight Specials to PN20 Pressure as specified</t>
  </si>
  <si>
    <t>2J381.1</t>
  </si>
  <si>
    <t>Nominal bore 100mm diameter socket to spigot piece with thrust flange, 900mm long-WO</t>
  </si>
  <si>
    <t>2J381.2</t>
  </si>
  <si>
    <t>Nominal bore 100mm diameter double spigot piece, 15000mm long-WO</t>
  </si>
  <si>
    <t>2J383.1</t>
  </si>
  <si>
    <t>Nominal bore 100mm diameter double flanged riser piece, 2000mm long- Cut to suit-AV</t>
  </si>
  <si>
    <t>2J481.1</t>
  </si>
  <si>
    <t>Nominal bore 150mm uPVC pipe sleeve over washout valves, 3m long</t>
  </si>
  <si>
    <t>Valves to PN 20 Pressure as specified</t>
  </si>
  <si>
    <t>2J811.1</t>
  </si>
  <si>
    <t>Nominal bore 100mm double flanged isolating Valve (for air valves)</t>
  </si>
  <si>
    <t>2J811.2</t>
  </si>
  <si>
    <t>Nominal bore 100mm double flanged Gate Valve (for washouts)</t>
  </si>
  <si>
    <t>Air Valves to PN 20 Pressure as specified</t>
  </si>
  <si>
    <t>2J861.1</t>
  </si>
  <si>
    <t>Nominal bore 100mm Vent-O-Matt RBX series or similar approved flanged double orifice air  release and vacuum break valve</t>
  </si>
  <si>
    <t>Chambers complete as per the drawings</t>
  </si>
  <si>
    <t>Air valve Chamber</t>
  </si>
  <si>
    <t>3K211</t>
  </si>
  <si>
    <t>In situ concrete chamber, internal size 1200mm x 1200mm, depth not exceeding 2.0m. (Air Valve chambers)</t>
  </si>
  <si>
    <t>Washout Chamber</t>
  </si>
  <si>
    <t>3K231</t>
  </si>
  <si>
    <t>Type 1, depth n.e 2.0m including concrete  outfall works</t>
  </si>
  <si>
    <t>K6</t>
  </si>
  <si>
    <t>Crossings</t>
  </si>
  <si>
    <t>5K61</t>
  </si>
  <si>
    <t>Allow for river crossings, including all couplings, reinforced concrete piers, surrounds, bearings etc. Length n.e 20m</t>
  </si>
  <si>
    <t>2K622.2</t>
  </si>
  <si>
    <t>Over-crossing, pipe bore not exceeding 300 -900mm</t>
  </si>
  <si>
    <t>2K642</t>
  </si>
  <si>
    <t>Crossing Hedge, pipe bore not exceeding 300 -900mm</t>
  </si>
  <si>
    <t>2K646</t>
  </si>
  <si>
    <t>Crossing Fence, pipe bore not exceeding 300 -900mm</t>
  </si>
  <si>
    <t>2K647</t>
  </si>
  <si>
    <t>Crossing existing sewer or drain, pipe bore not exceeding 300 -900mm</t>
  </si>
  <si>
    <t>2K648</t>
  </si>
  <si>
    <t>Crossing existing underground water pipeline size exceeding 50mm, pipe bore not exceeding 300 -900mm</t>
  </si>
  <si>
    <r>
      <rPr>
        <b/>
        <i/>
        <sz val="10"/>
        <rFont val="Arial"/>
        <family val="2"/>
      </rPr>
      <t>Micro-tunnelling below bituminous road</t>
    </r>
    <r>
      <rPr>
        <i/>
        <sz val="10"/>
        <rFont val="Arial"/>
        <family val="2"/>
      </rPr>
      <t xml:space="preserve">
</t>
    </r>
  </si>
  <si>
    <t>Rates quoted shall be deemed to include for costs incurred on traffic control, signage  and safety measures during execution of the works.</t>
  </si>
  <si>
    <t>5K692</t>
  </si>
  <si>
    <t>Micro-tunnelling below the bituminous road.             Nominal bores 500 mm</t>
  </si>
  <si>
    <t>5K694</t>
  </si>
  <si>
    <t>Extra over microtunnelling in rock</t>
  </si>
  <si>
    <t>Reinstatement</t>
  </si>
  <si>
    <t>Breaking up, temporary and permanent reinstatement of  roads</t>
  </si>
  <si>
    <t>3K732.1</t>
  </si>
  <si>
    <t>Tarmac/paved roads. Pipe nominal bore not exceeding 300-900mm.</t>
  </si>
  <si>
    <t>3K732.2</t>
  </si>
  <si>
    <t>Gravel Roads. Pipe nominal bore not exceeding 300-900mm.</t>
  </si>
  <si>
    <t>Other Pipework Ancillaries</t>
  </si>
  <si>
    <t>Supply and erect precast concrete marker post for the following:-</t>
  </si>
  <si>
    <t>3K820.1</t>
  </si>
  <si>
    <t>Pipeline marker post-inscribed 'WM '</t>
  </si>
  <si>
    <t>3K820.2</t>
  </si>
  <si>
    <t>Air valve marker post-inscribed 'AV'</t>
  </si>
  <si>
    <t>3K820.3</t>
  </si>
  <si>
    <t>Washout marker post-inscribed 'WO'</t>
  </si>
  <si>
    <t>Excavation of rock as defined in Specifications</t>
  </si>
  <si>
    <t>2L111</t>
  </si>
  <si>
    <t>Extras to excavation and backfilling of pipe trenches; Excavation of rock</t>
  </si>
  <si>
    <t>2L121</t>
  </si>
  <si>
    <t>Extras to excavation and backfilling in chambers; Excavation of rock</t>
  </si>
  <si>
    <t>Bedding and Surround as per Pipeline Standard Details</t>
  </si>
  <si>
    <t>2L522</t>
  </si>
  <si>
    <t>Surrounds with excavated selected granular material, pipe bore 500mm</t>
  </si>
  <si>
    <t>2L523-2</t>
  </si>
  <si>
    <t>Surrounds with imported granular material, pipe bore 500mm for trench in rock</t>
  </si>
  <si>
    <t>2L523-3</t>
  </si>
  <si>
    <t>Surrounds with Class C15/20 mass concrete, pipe bore 500mm for road, river and stream crossings</t>
  </si>
  <si>
    <t>Concrete thrust blocks</t>
  </si>
  <si>
    <r>
      <t>Thrust blocks - Class 20/20 Mass Concrete, Volume 0.2 - 0.5m</t>
    </r>
    <r>
      <rPr>
        <i/>
        <u/>
        <vertAlign val="superscript"/>
        <sz val="10"/>
        <rFont val="Arial"/>
        <family val="2"/>
      </rPr>
      <t>3</t>
    </r>
  </si>
  <si>
    <t>3L713.2</t>
  </si>
  <si>
    <r>
      <t>For DN 400 11.5</t>
    </r>
    <r>
      <rPr>
        <vertAlign val="superscript"/>
        <sz val="10"/>
        <rFont val="Arial"/>
        <family val="2"/>
      </rPr>
      <t>o</t>
    </r>
    <r>
      <rPr>
        <sz val="10"/>
        <rFont val="Arial"/>
        <family val="2"/>
      </rPr>
      <t xml:space="preserve"> bend volume 0.08 m</t>
    </r>
    <r>
      <rPr>
        <vertAlign val="superscript"/>
        <sz val="10"/>
        <rFont val="Arial"/>
        <family val="2"/>
      </rPr>
      <t>3</t>
    </r>
  </si>
  <si>
    <t>3L713.3</t>
  </si>
  <si>
    <r>
      <t>For DN 400 22.5</t>
    </r>
    <r>
      <rPr>
        <vertAlign val="superscript"/>
        <sz val="10"/>
        <rFont val="Arial"/>
        <family val="2"/>
      </rPr>
      <t>o</t>
    </r>
    <r>
      <rPr>
        <sz val="10"/>
        <rFont val="Arial"/>
        <family val="2"/>
      </rPr>
      <t xml:space="preserve"> bend volume 0.24 m</t>
    </r>
    <r>
      <rPr>
        <vertAlign val="superscript"/>
        <sz val="10"/>
        <rFont val="Arial"/>
        <family val="2"/>
      </rPr>
      <t>3</t>
    </r>
  </si>
  <si>
    <t>3L713.4</t>
  </si>
  <si>
    <r>
      <t>For DN 400 30</t>
    </r>
    <r>
      <rPr>
        <vertAlign val="superscript"/>
        <sz val="10"/>
        <rFont val="Arial"/>
        <family val="2"/>
      </rPr>
      <t>o</t>
    </r>
    <r>
      <rPr>
        <sz val="10"/>
        <rFont val="Arial"/>
        <family val="2"/>
      </rPr>
      <t xml:space="preserve"> bend volume 0.45 m</t>
    </r>
    <r>
      <rPr>
        <vertAlign val="superscript"/>
        <sz val="10"/>
        <rFont val="Arial"/>
        <family val="2"/>
      </rPr>
      <t>3</t>
    </r>
  </si>
  <si>
    <r>
      <t>For DN 400 45</t>
    </r>
    <r>
      <rPr>
        <vertAlign val="superscript"/>
        <sz val="10"/>
        <rFont val="Arial"/>
        <family val="2"/>
      </rPr>
      <t>o</t>
    </r>
    <r>
      <rPr>
        <sz val="10"/>
        <rFont val="Arial"/>
        <family val="2"/>
      </rPr>
      <t xml:space="preserve"> bend</t>
    </r>
  </si>
  <si>
    <t>3L713.5</t>
  </si>
  <si>
    <r>
      <t>For DN 400 90</t>
    </r>
    <r>
      <rPr>
        <vertAlign val="superscript"/>
        <sz val="10"/>
        <rFont val="Arial"/>
        <family val="2"/>
      </rPr>
      <t>o</t>
    </r>
    <r>
      <rPr>
        <sz val="10"/>
        <rFont val="Arial"/>
        <family val="2"/>
      </rPr>
      <t xml:space="preserve"> bend volume 1.48 m</t>
    </r>
    <r>
      <rPr>
        <vertAlign val="superscript"/>
        <sz val="10"/>
        <rFont val="Arial"/>
        <family val="2"/>
      </rPr>
      <t>3</t>
    </r>
  </si>
  <si>
    <r>
      <t>Thrust blocks - RC, Class 25/20Volume 0.5 - 1.0m</t>
    </r>
    <r>
      <rPr>
        <i/>
        <u/>
        <vertAlign val="superscript"/>
        <sz val="10"/>
        <rFont val="Arial"/>
        <family val="2"/>
      </rPr>
      <t>3</t>
    </r>
  </si>
  <si>
    <t>3L743</t>
  </si>
  <si>
    <t>For 500 x 100 tee</t>
  </si>
  <si>
    <t xml:space="preserve">Anchor blocks on Ruiru River Crossing- RC, Class 25/20 Volume n.e 0.1 m3 </t>
  </si>
  <si>
    <t>Anchor blocks including metal strap and holddown bolts</t>
  </si>
  <si>
    <t>Slip anchors on steep sections of the pipe profile as shown on drawings</t>
  </si>
  <si>
    <t>2L834.1</t>
  </si>
  <si>
    <t>Slip anchors, height  1.5 - 2.0m, pipe nominal bore 500mm</t>
  </si>
  <si>
    <t>BILL 3 Collection Page</t>
  </si>
  <si>
    <t>BILL 3 COLLECTION CARRIED TO GRAND SUMMARY</t>
  </si>
  <si>
    <t>BILL 7 - KATELEMBU TANK- MACHAKOS WATER TRANSMISSION MAINS</t>
  </si>
  <si>
    <t xml:space="preserve">OD400 HDPE pipe </t>
  </si>
  <si>
    <t>Provide (incl storage and transportation), lay and joint pipes in trench, include for excavation, preparation of surfaces, disposal of excavated material, shoring sides of excavation and backfilling with suitable material</t>
  </si>
  <si>
    <r>
      <rPr>
        <b/>
        <sz val="10"/>
        <rFont val="Arial"/>
        <family val="2"/>
      </rPr>
      <t xml:space="preserve">Note:- </t>
    </r>
    <r>
      <rPr>
        <sz val="10"/>
        <rFont val="Arial"/>
        <family val="2"/>
      </rPr>
      <t>Trench width and minimum cover to pipes is 1m. The cost shall include for strutting, shuttering, stabilizing the earth faces of trenches and keeping the trenches free of water from whatever source by pumping or other means and cost of use of selected soil from the excavated material for compaction in bed and surround to backfilling of trenches,  all as specified.</t>
    </r>
  </si>
  <si>
    <t>Provide and Lay 'High Density Polyethelyne ' SDR 11 (HDPE PN12.5)</t>
  </si>
  <si>
    <t>OD 400mm not in trenches</t>
  </si>
  <si>
    <t>OD 400mm in trenches, depth not exceeding 1.5m</t>
  </si>
  <si>
    <t>DN 350 in trenches depth n.e 1.5m.</t>
  </si>
  <si>
    <t>All HDPE - PN 12.5 butt fusion fittings unless otherwise indicated. Steel fittings to PN16</t>
  </si>
  <si>
    <r>
      <t>HPDE OD400 11¼</t>
    </r>
    <r>
      <rPr>
        <vertAlign val="superscript"/>
        <sz val="10"/>
        <rFont val="Arial"/>
        <family val="2"/>
      </rPr>
      <t>o</t>
    </r>
    <r>
      <rPr>
        <sz val="10"/>
        <rFont val="Arial"/>
        <family val="2"/>
      </rPr>
      <t xml:space="preserve"> bend</t>
    </r>
  </si>
  <si>
    <r>
      <t>Ditto but  22½</t>
    </r>
    <r>
      <rPr>
        <vertAlign val="superscript"/>
        <sz val="10"/>
        <rFont val="Arial"/>
        <family val="2"/>
      </rPr>
      <t>o</t>
    </r>
    <r>
      <rPr>
        <sz val="10"/>
        <rFont val="Arial"/>
        <family val="2"/>
      </rPr>
      <t xml:space="preserve"> bend</t>
    </r>
  </si>
  <si>
    <r>
      <t>Ditto but  30</t>
    </r>
    <r>
      <rPr>
        <vertAlign val="superscript"/>
        <sz val="10"/>
        <rFont val="Arial"/>
        <family val="2"/>
      </rPr>
      <t>o</t>
    </r>
    <r>
      <rPr>
        <sz val="10"/>
        <rFont val="Arial"/>
        <family val="2"/>
      </rPr>
      <t xml:space="preserve"> bend</t>
    </r>
  </si>
  <si>
    <r>
      <t>Ditto but  45</t>
    </r>
    <r>
      <rPr>
        <vertAlign val="superscript"/>
        <sz val="10"/>
        <rFont val="Arial"/>
        <family val="2"/>
      </rPr>
      <t>o</t>
    </r>
    <r>
      <rPr>
        <sz val="10"/>
        <rFont val="Arial"/>
        <family val="2"/>
      </rPr>
      <t xml:space="preserve"> bend</t>
    </r>
  </si>
  <si>
    <r>
      <t>Ditto but 90</t>
    </r>
    <r>
      <rPr>
        <vertAlign val="superscript"/>
        <sz val="10"/>
        <rFont val="Arial"/>
        <family val="2"/>
      </rPr>
      <t>o</t>
    </r>
    <r>
      <rPr>
        <sz val="10"/>
        <rFont val="Arial"/>
        <family val="2"/>
      </rPr>
      <t xml:space="preserve"> bend</t>
    </r>
  </si>
  <si>
    <t>DN 350, 45o</t>
  </si>
  <si>
    <t>DN 350, 30o</t>
  </si>
  <si>
    <t>DN 350, 22.5o</t>
  </si>
  <si>
    <t>DN 350, 11.25o</t>
  </si>
  <si>
    <r>
      <t>DN 100 GS, 90</t>
    </r>
    <r>
      <rPr>
        <vertAlign val="superscript"/>
        <sz val="10"/>
        <rFont val="Arial"/>
        <family val="2"/>
      </rPr>
      <t>o</t>
    </r>
    <r>
      <rPr>
        <sz val="10"/>
        <rFont val="Arial"/>
        <family val="2"/>
      </rPr>
      <t xml:space="preserve"> bend (for Type 1 Washouts)</t>
    </r>
  </si>
  <si>
    <t>Junctions and Branches</t>
  </si>
  <si>
    <t>DN 350mm x 100mm plain ended tee with flanged branch tee (for Air Valves)</t>
  </si>
  <si>
    <t>DN 350mm x 100mm plain ended tee with flanged branch level invert tee (for Washouts)</t>
  </si>
  <si>
    <t>Double Collars as specified</t>
  </si>
  <si>
    <t>Flexible coupling (VJ Type)</t>
  </si>
  <si>
    <t>DN 100mm flexible coupling</t>
  </si>
  <si>
    <t>DN 350mm flexible coupling</t>
  </si>
  <si>
    <t xml:space="preserve">Adaptors </t>
  </si>
  <si>
    <t>Flange adaptors</t>
  </si>
  <si>
    <t>DN 100mm flange adaptor</t>
  </si>
  <si>
    <t>Straight Specials as specified</t>
  </si>
  <si>
    <t>DN100mm diameter socket to spigot piece with thrust flange, 900mm long-WO</t>
  </si>
  <si>
    <t>DN100mm diameter double spigot piece, 15000mm long-WO</t>
  </si>
  <si>
    <t>DN100mm diameter double flanged riser piece, 2000mm long- Cut to suit-AV</t>
  </si>
  <si>
    <t>Valves as specified</t>
  </si>
  <si>
    <t>DN 100mm double flanged isolating Valve (for air valves)</t>
  </si>
  <si>
    <t>DN100mm double flanged Gate Valve (for washouts)</t>
  </si>
  <si>
    <t>Air Valves</t>
  </si>
  <si>
    <t>DN100mm Vent-O-Matt RBX series or similar approved flanged double orifice air  release and vacuum break valve</t>
  </si>
  <si>
    <t>For DN 350 11.5o bend volume 0.08 m3</t>
  </si>
  <si>
    <t>For DN 350 22.5o bend volume 0.24 m3</t>
  </si>
  <si>
    <t>For DN 350 30o bend volume 0.45 m3</t>
  </si>
  <si>
    <t>For DN 350 45o bend</t>
  </si>
  <si>
    <t>For DN 350 90o bend volume 1.48 m3</t>
  </si>
  <si>
    <t>For 400 x 100 tee</t>
  </si>
  <si>
    <t>BILL 7 COLLECTION CARRIED TO GRAND SUMMARY</t>
  </si>
  <si>
    <t>BILL 8 - DISTRIBUTION NETWORK</t>
  </si>
  <si>
    <t>clearance shall include demolition and removal of natural and artificial articles, objects and obstructions which are above the original surface. Items for demolition and site clearance shall be deemed to include disposal of materials arising. Items for general clearance include removal of hedges and removal of hedges stumps of any diameter and disposal of materials arising of.  Items for removal of trees shall include removal of stumps where required. The girth shall be measured 1m above the ground level. (provisional)</t>
  </si>
  <si>
    <t>Trees of girth 500mm - 1m</t>
  </si>
  <si>
    <t>Trees of girth 1 - 2m</t>
  </si>
  <si>
    <t>Stumps of diameter 150 - 500mm</t>
  </si>
  <si>
    <t>3D320</t>
  </si>
  <si>
    <t>Stumps of diameter 500 mm - 1m</t>
  </si>
  <si>
    <t>Excavate, store, backfill, compact in trench all materials as per trench detail drawings . Rate to include disposal of excess materials as directed by the engineer.</t>
  </si>
  <si>
    <t>3I31</t>
  </si>
  <si>
    <t>For pipeline in trench depth n.e 1.5m</t>
  </si>
  <si>
    <t>3I43</t>
  </si>
  <si>
    <t>Ditto but for depth 1.5– 2.0m</t>
  </si>
  <si>
    <t>3I34</t>
  </si>
  <si>
    <t>Excavations in Soft Rock  (provisional)</t>
  </si>
  <si>
    <t>3I45</t>
  </si>
  <si>
    <t>Excavations in Hard Rock (provisional)</t>
  </si>
  <si>
    <t>Supply, handle, deliver to site, lay and joint,( rate to include cutting to size, fixing and jointing materials inclusive of sockets, mechanical joints, or rubber rings where applicable).  uPVC Pressure Pipe, KS ISO 1452-2: 2009. uPVC PN12.5 unless otherwise stated.</t>
  </si>
  <si>
    <t>DN 355</t>
  </si>
  <si>
    <t xml:space="preserve">              </t>
  </si>
  <si>
    <t>DN 315</t>
  </si>
  <si>
    <t xml:space="preserve">         </t>
  </si>
  <si>
    <t xml:space="preserve">DN 250 </t>
  </si>
  <si>
    <t xml:space="preserve">DN 200 </t>
  </si>
  <si>
    <t>3I034</t>
  </si>
  <si>
    <t xml:space="preserve">DN 160 </t>
  </si>
  <si>
    <t>3I035</t>
  </si>
  <si>
    <t xml:space="preserve">DN 110 </t>
  </si>
  <si>
    <t>3I036</t>
  </si>
  <si>
    <t>DN 63 HDPE PN10</t>
  </si>
  <si>
    <t>Air Valves, Fire Hydrants and Washouts</t>
  </si>
  <si>
    <r>
      <t xml:space="preserve">Supply, handle, deliver to site, fix in place and test inclusive of all fittings, as per drawing No. </t>
    </r>
    <r>
      <rPr>
        <u/>
        <sz val="10"/>
        <color rgb="FFFF0000"/>
        <rFont val="Arial"/>
        <family val="2"/>
      </rPr>
      <t>****</t>
    </r>
    <r>
      <rPr>
        <u/>
        <sz val="10"/>
        <rFont val="Arial"/>
        <family val="2"/>
      </rPr>
      <t xml:space="preserve"> ( rate to exclude construction of chambers). </t>
    </r>
  </si>
  <si>
    <t>3J861.1</t>
  </si>
  <si>
    <t>For Single small-orifice Air Valve type " Glenfield" or approved equivalent   to BS 5163/PN10 with isolating valve on DN 315 pipe</t>
  </si>
  <si>
    <t>3J861.2</t>
  </si>
  <si>
    <t>Ditto 2.22 but  on DN 250 pipeline</t>
  </si>
  <si>
    <t>3J861.3</t>
  </si>
  <si>
    <t>Ditto 2.22 but  on DN 200 pipeline</t>
  </si>
  <si>
    <t>3J861.4</t>
  </si>
  <si>
    <t>Ditto 2.22 but  on DN 160 pipeline</t>
  </si>
  <si>
    <t>3J861.5</t>
  </si>
  <si>
    <t>Ditto 2.22 but  on DN 110 pipeline</t>
  </si>
  <si>
    <t>3J861.6</t>
  </si>
  <si>
    <t>For Double orifice Air Valve type "Glenfield" or approved equivalent   to BS 5163/PN10 with isolating valve on DN 355 pipe</t>
  </si>
  <si>
    <t>3J862.1</t>
  </si>
  <si>
    <t xml:space="preserve">Washout to detail as shown on drawings </t>
  </si>
  <si>
    <t>3J862.2</t>
  </si>
  <si>
    <t>Fire Hydrants  to BS 750 Type 2</t>
  </si>
  <si>
    <t>TEES</t>
  </si>
  <si>
    <t>Supply, handle, deliver to site, fix in place and test inclusive of all fittings to details. Include for necessary uPVC-Steel joining fittings. ( rate to exclude gate valves or sluice valves and construction of chambers but include for all other jointing materials and fittings)</t>
  </si>
  <si>
    <t>3J323.1</t>
  </si>
  <si>
    <t>for  350x300 Tees  with flanged branch</t>
  </si>
  <si>
    <t>3J323.2</t>
  </si>
  <si>
    <t>ditto 2.29 But for 350x100 Tee with flanged branch</t>
  </si>
  <si>
    <t>3J323.3</t>
  </si>
  <si>
    <t>ditto 2.29 But for 350x50 Tee with socket branch</t>
  </si>
  <si>
    <t>3J323.4</t>
  </si>
  <si>
    <t>For 315x160 Tee with socket branch</t>
  </si>
  <si>
    <t>3J323.5</t>
  </si>
  <si>
    <t>ditto But for 315x 200 Tee with socket branch</t>
  </si>
  <si>
    <t>3J323.6</t>
  </si>
  <si>
    <t>ditto  But for 315x110 Tee with socket branch</t>
  </si>
  <si>
    <t>3J323.7</t>
  </si>
  <si>
    <t>ditto  But for 315x50 Tee with socket branch</t>
  </si>
  <si>
    <t>3J323.8</t>
  </si>
  <si>
    <t>ditto  But for 250x160 Tee with socket branch</t>
  </si>
  <si>
    <t>3J323.9</t>
  </si>
  <si>
    <t>ditto  But for 200x200 Tee with socket branch</t>
  </si>
  <si>
    <t>ditto  But for 250x110 Tee with socket branch</t>
  </si>
  <si>
    <t>3J323.10</t>
  </si>
  <si>
    <t>ditto But for 250x110 Tee with socket branch</t>
  </si>
  <si>
    <t>3J323.11</t>
  </si>
  <si>
    <t>ditto  But for 250x50 Tee</t>
  </si>
  <si>
    <t>3J323.12</t>
  </si>
  <si>
    <t>ditto  But for 200x110 Tee</t>
  </si>
  <si>
    <t>3J323.13</t>
  </si>
  <si>
    <t>ditto  But for 200x160 Tee</t>
  </si>
  <si>
    <t>3J323.14</t>
  </si>
  <si>
    <t>ditto  But for 160x110 Tee</t>
  </si>
  <si>
    <t>3J323.15</t>
  </si>
  <si>
    <t>ditto  But for 110x110 Tee</t>
  </si>
  <si>
    <t>Provide for GI-uPVC -To include for all necessary fittings and all works associated with connect to existing GI pipes</t>
  </si>
  <si>
    <t>GI-Upvc Tee 200x150</t>
  </si>
  <si>
    <t xml:space="preserve">ditto But for 160x 150 </t>
  </si>
  <si>
    <t xml:space="preserve">ditto  But for 110x150 </t>
  </si>
  <si>
    <r>
      <t xml:space="preserve">Supply, handle, deliver to site, fix in place inclusive of all jointing fittings/accessories and test Sluice valve and gate valve to Tees as shown in drawing </t>
    </r>
    <r>
      <rPr>
        <u/>
        <sz val="10"/>
        <color rgb="FFFF0000"/>
        <rFont val="Arial"/>
        <family val="2"/>
      </rPr>
      <t>No.******.</t>
    </r>
    <r>
      <rPr>
        <u/>
        <sz val="10"/>
        <rFont val="Arial"/>
        <family val="2"/>
      </rPr>
      <t xml:space="preserve"> For:</t>
    </r>
  </si>
  <si>
    <t>3J811.1</t>
  </si>
  <si>
    <t>DN 350  flanged Sluice Valves to BS 5163 type "Glenfield/avk " PN10 or approved equivalent</t>
  </si>
  <si>
    <t>3J811.2</t>
  </si>
  <si>
    <t>DN 300 flanged Sluice Valves to BS 5163 type "Glenfield/avk " PN10 or approved equivalent</t>
  </si>
  <si>
    <t>3J811.3</t>
  </si>
  <si>
    <t>DN 250 flanged Sluice Valves to BS 5163 type "Glenfield/avk " PN10 or approved equivalent</t>
  </si>
  <si>
    <t>3J811.4</t>
  </si>
  <si>
    <t>DN 150 flanged Sluice Valves to BS 5163 type "Glenfield/avk " PN10 or approved equivalent</t>
  </si>
  <si>
    <t>3J811.5</t>
  </si>
  <si>
    <t>DN 100  flanged Sluice Valves to BS 5163 type "Glenfield/avk " PN10 or approved equivalent</t>
  </si>
  <si>
    <t>3J351.1</t>
  </si>
  <si>
    <t>Supply, handle, deliver to site, fix in place DN 350 Mechanical joints</t>
  </si>
  <si>
    <t>3J351.2</t>
  </si>
  <si>
    <t>Supply, handle, deliver to site, fix in place DN 300 Mechanical joints</t>
  </si>
  <si>
    <t>3J351.3</t>
  </si>
  <si>
    <t>Ditto but for  DN 250 Mechanical joints</t>
  </si>
  <si>
    <t>3J351.4</t>
  </si>
  <si>
    <t>Ditto  but for  DN 200 Mechanical joints</t>
  </si>
  <si>
    <t>3J351.5</t>
  </si>
  <si>
    <t>Ditto  but for  DN 150 Mechanical joints</t>
  </si>
  <si>
    <t>3J351.6</t>
  </si>
  <si>
    <t>Ditto but for  DN 100 Mechanical joints</t>
  </si>
  <si>
    <t>3J351.7</t>
  </si>
  <si>
    <t>Supply, handle, deliver to site, fix in place DN 350 Flanged adaptors</t>
  </si>
  <si>
    <t>3J351.8</t>
  </si>
  <si>
    <t>Supply, handle, deliver to site, fix in place DN 300 Flanged adaptors</t>
  </si>
  <si>
    <t>3J351.9</t>
  </si>
  <si>
    <t>Ditto but for  DN 250 Flanged adaptors</t>
  </si>
  <si>
    <t>3J351.10</t>
  </si>
  <si>
    <t>Ditto but for  DN 200 Flanged adaptors</t>
  </si>
  <si>
    <t>3J351.11</t>
  </si>
  <si>
    <t>Ditto but for  DN 150 Flanged adaptors</t>
  </si>
  <si>
    <t>3J351.12</t>
  </si>
  <si>
    <t>Ditto but for  DN 100 Flanged adaptors</t>
  </si>
  <si>
    <t xml:space="preserve">BENDS </t>
  </si>
  <si>
    <t>Supply, handle, deliver to site, fix in place and test inclusive of all fittings bends as directed by the Engineer. For:</t>
  </si>
  <si>
    <t>DN 355 bends</t>
  </si>
  <si>
    <t>DN 315 bends</t>
  </si>
  <si>
    <t>DN 250 bends</t>
  </si>
  <si>
    <t>DN 200 bends</t>
  </si>
  <si>
    <t>DN 160 bends</t>
  </si>
  <si>
    <t>3J313.4</t>
  </si>
  <si>
    <t>DN 110 bends</t>
  </si>
  <si>
    <t>REDUCERS</t>
  </si>
  <si>
    <t>3J381.1</t>
  </si>
  <si>
    <t xml:space="preserve"> Supply, handling, fixing in place and testing inclusive of all fittings For DN 355x315 reducers</t>
  </si>
  <si>
    <t>3J381.2</t>
  </si>
  <si>
    <t>Ditto but for DN 315x250</t>
  </si>
  <si>
    <t>3J381.3</t>
  </si>
  <si>
    <t>Ditto but for DN 250x200</t>
  </si>
  <si>
    <t>3J381.4</t>
  </si>
  <si>
    <t>Ditto  but for DN 200x160</t>
  </si>
  <si>
    <t>3J381.5</t>
  </si>
  <si>
    <t>Ditto  but for DN 200x110</t>
  </si>
  <si>
    <t>Ditto  but for DN 160x110</t>
  </si>
  <si>
    <t xml:space="preserve"> Supply, handling, fixing in place and testing inclusive of all fittings For HDPE-uPVC OD400x315 reducers/connections</t>
  </si>
  <si>
    <t>Meters</t>
  </si>
  <si>
    <t>3J381.6</t>
  </si>
  <si>
    <t>Supply and install a DN 315mm dia master meter approved by the Engineer. Rate to include all jointing materials.</t>
  </si>
  <si>
    <t>Supply and deliver materials on site, excavate for a construct complete chambers including precast concrete cover slabs where necessary as shown on the drawing</t>
  </si>
  <si>
    <r>
      <t xml:space="preserve">For washout  valve sleeve, cap and  outfall  for washout depth n.e 2.5m as show on drawing </t>
    </r>
    <r>
      <rPr>
        <sz val="10"/>
        <color indexed="10"/>
        <rFont val="Arial"/>
        <family val="2"/>
      </rPr>
      <t xml:space="preserve">No. </t>
    </r>
    <r>
      <rPr>
        <sz val="10"/>
        <color rgb="FFFF0000"/>
        <rFont val="Arial"/>
        <family val="2"/>
      </rPr>
      <t>*****</t>
    </r>
  </si>
  <si>
    <t>3K232</t>
  </si>
  <si>
    <t>Ditto as 2.73 but for  sluice valves as on drawing  No. *****</t>
  </si>
  <si>
    <t xml:space="preserve">No </t>
  </si>
  <si>
    <t>3K233</t>
  </si>
  <si>
    <t>Ditto as 2.73 but for  Fire hydrants type 2 to BS 750 as on drawing No. *****</t>
  </si>
  <si>
    <t>Include for payment for all statutory fees to the local authorities.</t>
  </si>
  <si>
    <t>Tarmac/paved roads. Pipe nominal bore not exceeding 50-400mm.</t>
  </si>
  <si>
    <t>Gravel Roads. Pipe nominal bore not exceeding 50-400mm.</t>
  </si>
  <si>
    <t>Allow for river crossings, length n.e 20m</t>
  </si>
  <si>
    <t xml:space="preserve">Allow for crossing existing drains and sewers, and reinstate these after construction of the water line has been completed. </t>
  </si>
  <si>
    <t>5K671</t>
  </si>
  <si>
    <t>Pipe bore 50mm-400mm</t>
  </si>
  <si>
    <t>Crossing Hedge, pipe bore not exceeding 50 -400mm</t>
  </si>
  <si>
    <t>Crossing Fence, pipe bore not exceeding 50 -400mm</t>
  </si>
  <si>
    <t>Pipe markers shall be made from reinforced precast concrete to detail. This item shall be deemed to include supply and fixing the pipe markers and painting as directed by the engineer.</t>
  </si>
  <si>
    <t>Pipeline marker post</t>
  </si>
  <si>
    <t>Air valve marker post</t>
  </si>
  <si>
    <t>Washout marker post</t>
  </si>
  <si>
    <t>Extra to excavation and backfilling</t>
  </si>
  <si>
    <t>Surrounds with selected granular material, pipe bore n.e 400mm</t>
  </si>
  <si>
    <t>Surrounds with imported granular material, pipe bore n.e 400mm for trench in rock</t>
  </si>
  <si>
    <t>Surrounds with Class C15/20 mass concrete, pipe bore n.e 400mm for road, river and stream crossings</t>
  </si>
  <si>
    <t>Concrete Anchor blocks</t>
  </si>
  <si>
    <t>Provide and place mass concrete (1:3:6) for anchor blocks in bends etc Rate to include excavation and necessary formwork (provisional)</t>
  </si>
  <si>
    <t>BILL COLLECTION</t>
  </si>
  <si>
    <t>From page 1</t>
  </si>
  <si>
    <t>From page 2</t>
  </si>
  <si>
    <t>From page 3</t>
  </si>
  <si>
    <t>From page 4</t>
  </si>
  <si>
    <t>From page 5</t>
  </si>
  <si>
    <t>ITEM    NO.</t>
  </si>
  <si>
    <t>13I</t>
  </si>
  <si>
    <t>TRENCHING, PIPES AND FITTINGS FOR CONSUMER CONNECTIONS</t>
  </si>
  <si>
    <t>The following items combine a variety of works such as earthworks, civil works, supplies, mechanical works for pipe laying, testing, destroying of existing pipes, crossing and reinstatement of other underground communications, etc,…All costs are deemed to be included and covered by the unit price!</t>
  </si>
  <si>
    <t>13I7</t>
  </si>
  <si>
    <t>Trenching Pipes and Pipe Laying for Consumers Connection</t>
  </si>
  <si>
    <t>Supply and installation of uPVC pipework, including all bends, fittings, specials, warning tapes, testing of pipes as specified, disinfection of pipes; covering also all necessary earthworks such as excavation,backfilling in maximum 30cm layers from/to level 30cm below finished ground level, bedding, compaction and crossings for other underground infrastructure. The item does not cover service valves as listed below, but includes any additional excavation required for these items.
Pipe trench dimensions, bedding layers etc, in line with the standard drawings and specifications.</t>
  </si>
  <si>
    <t>NUMBER OF CONNECTIONS</t>
  </si>
  <si>
    <t>uPVC Pressure Pipe, KS ISO 1452-2: 2009. uPVC PN12.5 unless otherwise stated.</t>
  </si>
  <si>
    <t>Total</t>
  </si>
  <si>
    <t>Round</t>
  </si>
  <si>
    <t>14 m Pipe</t>
  </si>
  <si>
    <t>Fittings</t>
  </si>
  <si>
    <t>Exc</t>
  </si>
  <si>
    <t>13I712.1</t>
  </si>
  <si>
    <t>OD  25</t>
  </si>
  <si>
    <t>13I712.2</t>
  </si>
  <si>
    <t>OD  32</t>
  </si>
  <si>
    <t>13I712.3</t>
  </si>
  <si>
    <t xml:space="preserve">OD  40 </t>
  </si>
  <si>
    <t>Taper  x2</t>
  </si>
  <si>
    <t>13I712.4</t>
  </si>
  <si>
    <t xml:space="preserve">OD  50 </t>
  </si>
  <si>
    <t>13I712.5</t>
  </si>
  <si>
    <t xml:space="preserve">OD  63 </t>
  </si>
  <si>
    <t>9J6</t>
  </si>
  <si>
    <t>Pipe saddles or T-pieces</t>
  </si>
  <si>
    <t>Supply and installation of connections to distribution pipe by T-piece or pipe saddles as specified, include for  all works and fittings(wherever practicable saddles on larger pipes to be shares by several consumers); for distribution pipe diameter</t>
  </si>
  <si>
    <t>63 mm Fittings</t>
  </si>
  <si>
    <t>Pipe %</t>
  </si>
  <si>
    <t xml:space="preserve">Adopt </t>
  </si>
  <si>
    <t>13J621.1</t>
  </si>
  <si>
    <t>OD 63</t>
  </si>
  <si>
    <t>13J621.2</t>
  </si>
  <si>
    <t>On DN 90</t>
  </si>
  <si>
    <t>13J621.3</t>
  </si>
  <si>
    <t>On DN 110</t>
  </si>
  <si>
    <t>13J621.4</t>
  </si>
  <si>
    <t>Ditto but DN 160</t>
  </si>
  <si>
    <t>13J621.5</t>
  </si>
  <si>
    <t>Ditto but DN 225</t>
  </si>
  <si>
    <t>13J621.6</t>
  </si>
  <si>
    <t>Ditto but DN 355</t>
  </si>
  <si>
    <t>9.3</t>
  </si>
  <si>
    <t>Underground water meter chambers</t>
  </si>
  <si>
    <t>Supply and installation of underground water meter chambers, including all (mechanical and earth!) works, fittings, tappers, valves and other supplies as per standard drawings. The item also including the water meter installation set with water meter substitution pipe but not the meter itself! The chamber suitable for the following water meter size:</t>
  </si>
  <si>
    <t>9K251.1</t>
  </si>
  <si>
    <t>DN 20</t>
  </si>
  <si>
    <t>9K251.2</t>
  </si>
  <si>
    <t>DN 25</t>
  </si>
  <si>
    <t>9K251.3</t>
  </si>
  <si>
    <t>DN 32</t>
  </si>
  <si>
    <t>9K251.4</t>
  </si>
  <si>
    <t>DN 40</t>
  </si>
  <si>
    <t>9K251.5</t>
  </si>
  <si>
    <t>DN 50</t>
  </si>
  <si>
    <t>9K6</t>
  </si>
  <si>
    <t>9K651</t>
  </si>
  <si>
    <t>Allow for crossing existing boundary walls, including reinstatement to original state. Nominal bore not exceeding 200mm (Provisional)</t>
  </si>
  <si>
    <t>9K661</t>
  </si>
  <si>
    <t>Allow for crossing existing fences (chain link, barbed wire etc.), including reinstatement to original state. Nominal bore n.e. 200mm (Provisional)</t>
  </si>
  <si>
    <t>9K671</t>
  </si>
  <si>
    <t xml:space="preserve">Allow for crossing existing drains and sewers, and reinstate these after construction of sewer has been completed. Pipe inside diameter n.e. 200mm (Provisional). </t>
  </si>
  <si>
    <t>9K7</t>
  </si>
  <si>
    <t>9K732</t>
  </si>
  <si>
    <t>Breaking up, temporary and permanent reinstatement of murram road (Width of road cutting n.e 2m) with 300mm thick well graded stabilised gravel with 3% cement content base compacted using a 8-10 tonne roller to the satisfaction of the Engineer . Nominal bore 300 - 900 mm. Contractor to allow for liason with relevant local authorities and obtaining approval for completed works in his rates.</t>
  </si>
  <si>
    <t xml:space="preserve">Breaking up, temporary and permanent reinstatement of concrete pavements (width of cutting n.e 1 m) with 300mm thick well graded stabilised gravel compacted and concrete layer and finishing to match. Nominal bore n.e 65 mm </t>
  </si>
  <si>
    <t>BILL 9 Collection Page</t>
  </si>
  <si>
    <t>BILL 9 COLLECTION CARRIED TO GRAND SUMMARY</t>
  </si>
  <si>
    <t>BILL 9 - CONSUMER CONNECTIONS</t>
  </si>
  <si>
    <t>1.1.4</t>
  </si>
  <si>
    <t>hr</t>
  </si>
  <si>
    <t>1.1.5</t>
  </si>
  <si>
    <t>1.1.6</t>
  </si>
  <si>
    <t>1.1.7</t>
  </si>
  <si>
    <t>1.1.8</t>
  </si>
  <si>
    <t>1.1.9</t>
  </si>
  <si>
    <t>1.1.10</t>
  </si>
  <si>
    <t>1.1.11</t>
  </si>
  <si>
    <t>1.1.12</t>
  </si>
  <si>
    <t>1.1.13</t>
  </si>
  <si>
    <t>1.1.14</t>
  </si>
  <si>
    <t>BILL No. 3 - RAW WATER MAINS</t>
  </si>
  <si>
    <t>CLASS A - TESTING AND SETTING OUT OF WORKS</t>
  </si>
  <si>
    <t>Testing pipelines complete including flushing and sterilizing in accordance with the Specificatons</t>
  </si>
  <si>
    <t>3A360.1</t>
  </si>
  <si>
    <t>3A290</t>
  </si>
  <si>
    <t>Set out and prepare construction drawings for the raw water main to include all appurtenant facilities</t>
  </si>
  <si>
    <t>CLASS D - DEMOLITION AND SITE CLEARANCE</t>
  </si>
  <si>
    <t>Cutting of trees, removal and disposal of stumps with hole backfilled with suitable material from excavated pipe trench</t>
  </si>
  <si>
    <t>CLASS I - PIPEWORK - PIPES</t>
  </si>
  <si>
    <t xml:space="preserve">PN10 Steel Pipes, cement mortar lined and epoxy coated socket to spigot with rubber ring jointed to Clause 408: Supply and transport pipes, break out surface, excavate trench, cut and lay pipes, backfill with selected material from the trench excavations and compact, disposal of surplus all as specified. </t>
  </si>
  <si>
    <t>3I441.1</t>
  </si>
  <si>
    <t>Nominal bore 600mm not in trenches</t>
  </si>
  <si>
    <t>3I442.1</t>
  </si>
  <si>
    <t>Nominal bore 600mm in trenches, depth not exceeding 1.5m</t>
  </si>
  <si>
    <t>3I443.1</t>
  </si>
  <si>
    <t>-Ditto- but depth 1.5m - 3m</t>
  </si>
  <si>
    <t>CLASS J - PIPEWORK - FITTINGS AND VALVES</t>
  </si>
  <si>
    <t>All steel fittings to be Epoxy Coated and Lined.  Flanges to  NP10 for all fittings and valves</t>
  </si>
  <si>
    <r>
      <t>Nominal bore 600mm double sockettted 11¼</t>
    </r>
    <r>
      <rPr>
        <vertAlign val="superscript"/>
        <sz val="10"/>
        <color theme="1"/>
        <rFont val="Arial"/>
        <family val="2"/>
      </rPr>
      <t>o</t>
    </r>
    <r>
      <rPr>
        <sz val="10"/>
        <color theme="1"/>
        <rFont val="Arial"/>
        <family val="2"/>
      </rPr>
      <t xml:space="preserve"> bend</t>
    </r>
  </si>
  <si>
    <r>
      <t>Nominal bore 600mm double socketted  22½</t>
    </r>
    <r>
      <rPr>
        <vertAlign val="superscript"/>
        <sz val="10"/>
        <color theme="1"/>
        <rFont val="Arial"/>
        <family val="2"/>
      </rPr>
      <t>o</t>
    </r>
    <r>
      <rPr>
        <sz val="10"/>
        <color theme="1"/>
        <rFont val="Arial"/>
        <family val="2"/>
      </rPr>
      <t xml:space="preserve"> bend</t>
    </r>
  </si>
  <si>
    <r>
      <t>Nominal bore 600mm double socketted  45</t>
    </r>
    <r>
      <rPr>
        <vertAlign val="superscript"/>
        <sz val="10"/>
        <rFont val="Arial"/>
        <family val="2"/>
      </rPr>
      <t>o</t>
    </r>
    <r>
      <rPr>
        <sz val="10"/>
        <rFont val="Arial"/>
        <family val="2"/>
      </rPr>
      <t xml:space="preserve"> bend</t>
    </r>
  </si>
  <si>
    <r>
      <t>Nominal bore 600mm double socketted  90</t>
    </r>
    <r>
      <rPr>
        <vertAlign val="superscript"/>
        <sz val="10"/>
        <rFont val="Arial"/>
        <family val="2"/>
      </rPr>
      <t>o</t>
    </r>
    <r>
      <rPr>
        <sz val="10"/>
        <rFont val="Arial"/>
        <family val="2"/>
      </rPr>
      <t xml:space="preserve"> bend</t>
    </r>
  </si>
  <si>
    <t>Bends (NP10)</t>
  </si>
  <si>
    <t>3J311.1</t>
  </si>
  <si>
    <t>Junctions and Branches (NP10)</t>
  </si>
  <si>
    <t>Double Collars to PN10 as specified</t>
  </si>
  <si>
    <t>3J341.1</t>
  </si>
  <si>
    <t>3J344.1</t>
  </si>
  <si>
    <t>Adaptors (NP10)</t>
  </si>
  <si>
    <t>Straight Specials to PN10 Pressure as specified</t>
  </si>
  <si>
    <t>3J383.1</t>
  </si>
  <si>
    <t>3J481.1</t>
  </si>
  <si>
    <t>Valves to PN 10 Pressure as specified</t>
  </si>
  <si>
    <t>Air Valves to PN 10 Pressure as specified</t>
  </si>
  <si>
    <t xml:space="preserve"> Line Valves</t>
  </si>
  <si>
    <t>Rate to include supply and installation of Valves with all fittings (Flanged Tee, pipe pieces, valve, Mechanical joints, couplings) as per standard drawing. Rate exclusive of Manhole</t>
  </si>
  <si>
    <t>3J843.1</t>
  </si>
  <si>
    <t>DN 600 Butterfly Valve</t>
  </si>
  <si>
    <t>VJ Couplings</t>
  </si>
  <si>
    <t>2J381.10</t>
  </si>
  <si>
    <t>Nominal bore 600mm diameter flanged spigot pipe, 1200mm long</t>
  </si>
  <si>
    <t>CLASS K - PIPEWORK - MANHOLES AND PIPEWORK ANCILLARIES</t>
  </si>
  <si>
    <t>Chambers complete as per the drawings. Rate to include lockable HDPE covers.</t>
  </si>
  <si>
    <t>2K233.1</t>
  </si>
  <si>
    <t>2K233.2</t>
  </si>
  <si>
    <t>In situ concrete chamber, internal size 1400mm x 1400mm, depth not exceeding 2.0m. (Washout Valve chambers)</t>
  </si>
  <si>
    <t>2K236.3</t>
  </si>
  <si>
    <t>In situ concrete chamber, internal size 1800mm x 1800mm, depth not exceeding 4.0m for line valve chambers and Interconnection</t>
  </si>
  <si>
    <t>River crossings, width not exceeding 20m, including all couplings, reinforced concrete piers, surrounds, bearings etc as per standard drawings</t>
  </si>
  <si>
    <t>Pipeline Marker Posts</t>
  </si>
  <si>
    <t>2K820.1</t>
  </si>
  <si>
    <t>Marker post for Line Valve inscribed 'LV'</t>
  </si>
  <si>
    <t>2K820.2</t>
  </si>
  <si>
    <t>-Ditto- but Air Valve inscribed 'AV'</t>
  </si>
  <si>
    <t>2K820.3</t>
  </si>
  <si>
    <t>-Ditto- but Water Main inscribed 'WM '</t>
  </si>
  <si>
    <t>2K820.4</t>
  </si>
  <si>
    <t>-Ditto- but Wash Out inscribed 'WO'</t>
  </si>
  <si>
    <t>CLASS L - PIPEWORK SUPPORTS AND PROTECTION, ANCILLARIES TO LAYING AND EXCAVATION</t>
  </si>
  <si>
    <t>Thrust blocks for bends, tees, blank ends and anchor blocks for tapers, gate valves and vertical bends.</t>
  </si>
  <si>
    <t>2L723</t>
  </si>
  <si>
    <t>total valves</t>
  </si>
  <si>
    <t>total bends</t>
  </si>
  <si>
    <t>2L724</t>
  </si>
  <si>
    <t>2L725</t>
  </si>
  <si>
    <t>2L726</t>
  </si>
  <si>
    <t>Slip anchors on steep sections of the pipe profile as shown on Standard drawing</t>
  </si>
  <si>
    <t>CLASS N - MISCELLENEOUS METALWORK</t>
  </si>
  <si>
    <t>2N130.1</t>
  </si>
  <si>
    <t>Supply and install a 20 m Steel Bridge across River Maruba to facilitate crossing to/from the Intake works. The Bridge to be anchored on RC piers and Steel I-section bridge deck. The floor surface shall be checkered plates and with suitable handrails.</t>
  </si>
  <si>
    <t xml:space="preserve">Erosion Control Measures as shown on Drawing </t>
  </si>
  <si>
    <t>2X420.1</t>
  </si>
  <si>
    <t>Additional rock filled gabion mattress; 0.5m thickness</t>
  </si>
  <si>
    <t>200m stretch</t>
  </si>
  <si>
    <t>2X900.1</t>
  </si>
  <si>
    <t>Channel Type A with surface compacted and planted with Napier grass or other specified grass</t>
  </si>
  <si>
    <t>Pipe bore n.e 315mm</t>
  </si>
  <si>
    <t>1A231.2</t>
  </si>
  <si>
    <t>PAGE TOTAL TAKEN TO  P&amp;G  COLLECTION PAGE</t>
  </si>
  <si>
    <t>1A242</t>
  </si>
  <si>
    <t>1A250.1</t>
  </si>
  <si>
    <t>1A250.2</t>
  </si>
  <si>
    <t>1A279.1</t>
  </si>
  <si>
    <t>1A279.4</t>
  </si>
  <si>
    <t>1A310</t>
  </si>
  <si>
    <t>1A 420.1</t>
  </si>
  <si>
    <t>1A42.2</t>
  </si>
  <si>
    <t>SECTION COLLECTION PAGE</t>
  </si>
  <si>
    <t>AMOUNT    (KShs)</t>
  </si>
  <si>
    <t>LABOUR</t>
  </si>
  <si>
    <t>The rates inserted hereafter should include all such costs as insurance, travel time, overtime expenses, accomodation, use and maintenance of small tools of trade, Contractors overheads and profit. Only time engaged upon work instructed by the Engineer under this Bill will be paid for.</t>
  </si>
  <si>
    <t>Unskilled labour</t>
  </si>
  <si>
    <t>Foreman</t>
  </si>
  <si>
    <t xml:space="preserve">Driver </t>
  </si>
  <si>
    <t xml:space="preserve">Mason </t>
  </si>
  <si>
    <t>Carpenter</t>
  </si>
  <si>
    <t>Plumber</t>
  </si>
  <si>
    <t>Electrician</t>
  </si>
  <si>
    <t>Plant Operator</t>
  </si>
  <si>
    <t>Supervisor</t>
  </si>
  <si>
    <t>Pipelayer</t>
  </si>
  <si>
    <t>Painter</t>
  </si>
  <si>
    <t>Concretor</t>
  </si>
  <si>
    <t>Technician</t>
  </si>
  <si>
    <t>Watchman</t>
  </si>
  <si>
    <t>PAGE TOTAL FOR LABOUR CARRIED TO SECTION COLLECTION SHEET</t>
  </si>
  <si>
    <t>MATERIALS</t>
  </si>
  <si>
    <t>Materials shall comply with the relevant Technical Specifications and shall be subject to the approval of the Resident Engineer. The rate to include for delivery, storage, handling, Contractor's overheads, etc.</t>
  </si>
  <si>
    <t>Building sand</t>
  </si>
  <si>
    <t>ton</t>
  </si>
  <si>
    <t>Ordinary portland cement in 50 kg bags</t>
  </si>
  <si>
    <t>Fine aggregate</t>
  </si>
  <si>
    <t>Coarse aggregate</t>
  </si>
  <si>
    <t>150mm Blockwork</t>
  </si>
  <si>
    <t>200mm Blockwork</t>
  </si>
  <si>
    <t>Reinforcement fabric mesh.</t>
  </si>
  <si>
    <t>Reinforcement steel.</t>
  </si>
  <si>
    <t>1.2.9</t>
  </si>
  <si>
    <t>Concrete Class 25</t>
  </si>
  <si>
    <t>1.2.10</t>
  </si>
  <si>
    <t>Imported Fill</t>
  </si>
  <si>
    <t>1.2.11</t>
  </si>
  <si>
    <t>Hardcore</t>
  </si>
  <si>
    <t>1.2.12</t>
  </si>
  <si>
    <t>1.2.13</t>
  </si>
  <si>
    <t>Petrol</t>
  </si>
  <si>
    <t>1.2.14</t>
  </si>
  <si>
    <t xml:space="preserve">Diesel </t>
  </si>
  <si>
    <t>1.2.15</t>
  </si>
  <si>
    <t xml:space="preserve">Lubricants </t>
  </si>
  <si>
    <t>1.2.16</t>
  </si>
  <si>
    <t>Epoxy Paint</t>
  </si>
  <si>
    <t>1.2.17</t>
  </si>
  <si>
    <t>Emulsion Paint</t>
  </si>
  <si>
    <t>1.2.18</t>
  </si>
  <si>
    <t>Gloss Paint</t>
  </si>
  <si>
    <t>1.2.19</t>
  </si>
  <si>
    <t>Wrought Finish Formwork</t>
  </si>
  <si>
    <t>1.2.20</t>
  </si>
  <si>
    <t>Smooth Finish Formwork</t>
  </si>
  <si>
    <t>PAGE TOTAL FOR MATERIAL CARRIED TO SECTION COLLECTION SHEET</t>
  </si>
  <si>
    <t>EQUIPMENT</t>
  </si>
  <si>
    <t>Rates to include for all operation and maintenance of equipment, cost of fueling and lubrication, etc.</t>
  </si>
  <si>
    <t>Excavator</t>
  </si>
  <si>
    <t>Dozer 70Kw</t>
  </si>
  <si>
    <t>Grader Tractor</t>
  </si>
  <si>
    <t>Mobile generator 15 kVA</t>
  </si>
  <si>
    <t>4 WD Pickup 1 tonne</t>
  </si>
  <si>
    <t>Concrete mixer type 5/3.5</t>
  </si>
  <si>
    <t>Concrete dumper 0.5 cu.m.</t>
  </si>
  <si>
    <t>Concrete vibrator poker type N.D. 50 mm</t>
  </si>
  <si>
    <t>Dewatering pump 50mm dia suction end</t>
  </si>
  <si>
    <t>Air Compressor (5,000 l/min)</t>
  </si>
  <si>
    <t>Tipper Truck 7 tonne</t>
  </si>
  <si>
    <t>Tipper Truck 15 tonne</t>
  </si>
  <si>
    <t>Oxy-acetylene cutting and welding set including oxygen and acetylene gases.</t>
  </si>
  <si>
    <t>Electrical welding set including electrodes</t>
  </si>
  <si>
    <t>PAGE TOTAL FOR EQUIPMENT  CARRIED TO SECTION COLLECTION SHEET</t>
  </si>
  <si>
    <t>PAGE TOTAL TAKEN TO  GRAND SUMMARY PAGE</t>
  </si>
  <si>
    <t>BILL 1 SECTION COLLECTION PAGE</t>
  </si>
  <si>
    <t xml:space="preserve"> PAGE TOTAL CARRIED TO BILL 3.0 COLLECTION SHEET</t>
  </si>
  <si>
    <t>BILL No. 3 COLLECTION</t>
  </si>
  <si>
    <t>DN600 and DN 450 steel pipes to 100m maximum test pressure</t>
  </si>
  <si>
    <t>Nominal bore 450mm not in trenches</t>
  </si>
  <si>
    <t>Nominal bore 450mm in trenches, depth not exceeding 1.5m</t>
  </si>
  <si>
    <t>3I444.1</t>
  </si>
  <si>
    <r>
      <t>Nominal bore 450mm double sockettted 11¼</t>
    </r>
    <r>
      <rPr>
        <vertAlign val="superscript"/>
        <sz val="10"/>
        <color theme="1"/>
        <rFont val="Arial"/>
        <family val="2"/>
      </rPr>
      <t>o</t>
    </r>
    <r>
      <rPr>
        <sz val="10"/>
        <color theme="1"/>
        <rFont val="Arial"/>
        <family val="2"/>
      </rPr>
      <t xml:space="preserve"> bend</t>
    </r>
  </si>
  <si>
    <r>
      <t>Nominal bore 450mm double socketted  22½</t>
    </r>
    <r>
      <rPr>
        <vertAlign val="superscript"/>
        <sz val="10"/>
        <color theme="1"/>
        <rFont val="Arial"/>
        <family val="2"/>
      </rPr>
      <t>o</t>
    </r>
    <r>
      <rPr>
        <sz val="10"/>
        <color theme="1"/>
        <rFont val="Arial"/>
        <family val="2"/>
      </rPr>
      <t xml:space="preserve"> bend</t>
    </r>
  </si>
  <si>
    <r>
      <t>Nominal bore 450mm double socketted  45</t>
    </r>
    <r>
      <rPr>
        <vertAlign val="superscript"/>
        <sz val="10"/>
        <rFont val="Arial"/>
        <family val="2"/>
      </rPr>
      <t>o</t>
    </r>
    <r>
      <rPr>
        <sz val="10"/>
        <rFont val="Arial"/>
        <family val="2"/>
      </rPr>
      <t xml:space="preserve"> bend</t>
    </r>
  </si>
  <si>
    <t>Nominal bore 450mm flexible coupling</t>
  </si>
  <si>
    <r>
      <t>Nominal bore 450mm double socketted  90</t>
    </r>
    <r>
      <rPr>
        <vertAlign val="superscript"/>
        <sz val="10"/>
        <rFont val="Arial"/>
        <family val="2"/>
      </rPr>
      <t>o</t>
    </r>
    <r>
      <rPr>
        <sz val="10"/>
        <rFont val="Arial"/>
        <family val="2"/>
      </rPr>
      <t xml:space="preserve"> bend</t>
    </r>
  </si>
  <si>
    <t>3J313.5</t>
  </si>
  <si>
    <t>3J345.1</t>
  </si>
  <si>
    <t>Slip anchors, height  1.5 - 2.0m, pipe nominal bore &lt; 600mm</t>
  </si>
  <si>
    <r>
      <t>Concrete thrust and anchor blocks, volume 2.0 - 4.0 m</t>
    </r>
    <r>
      <rPr>
        <vertAlign val="superscript"/>
        <sz val="10"/>
        <rFont val="Arial"/>
        <family val="2"/>
      </rPr>
      <t>3</t>
    </r>
    <r>
      <rPr>
        <sz val="10"/>
        <rFont val="Arial"/>
        <family val="2"/>
      </rPr>
      <t>, pipe nominal bore &lt;  600mm</t>
    </r>
  </si>
  <si>
    <r>
      <t>Concrete thrust and anchor blocks, volume 1.0 - 2.0 m</t>
    </r>
    <r>
      <rPr>
        <vertAlign val="superscript"/>
        <sz val="10"/>
        <rFont val="Arial"/>
        <family val="2"/>
      </rPr>
      <t>3</t>
    </r>
    <r>
      <rPr>
        <sz val="10"/>
        <rFont val="Arial"/>
        <family val="2"/>
      </rPr>
      <t>, pipe nominal bore &lt; 600mm</t>
    </r>
  </si>
  <si>
    <r>
      <t>Concrete thrust and anchor blocks, volume 0.5- 1.0 m</t>
    </r>
    <r>
      <rPr>
        <vertAlign val="superscript"/>
        <sz val="10"/>
        <rFont val="Arial"/>
        <family val="2"/>
      </rPr>
      <t>3</t>
    </r>
    <r>
      <rPr>
        <sz val="10"/>
        <rFont val="Arial"/>
        <family val="2"/>
      </rPr>
      <t>, pipe nominal bore &lt; 600mm</t>
    </r>
  </si>
  <si>
    <r>
      <t>Concrete thrust and anchor blocks, volume 0.2- 0.5m</t>
    </r>
    <r>
      <rPr>
        <vertAlign val="superscript"/>
        <sz val="10"/>
        <rFont val="Arial"/>
        <family val="2"/>
      </rPr>
      <t>3</t>
    </r>
    <r>
      <rPr>
        <sz val="10"/>
        <rFont val="Arial"/>
        <family val="2"/>
      </rPr>
      <t>, pipe nominal bore &lt; 600mm</t>
    </r>
  </si>
  <si>
    <t>Surrounds with excavated selected granular material, pipe bore &lt; 600mm,</t>
  </si>
  <si>
    <t>Surrounds with imported granular material, pipe bore &lt; 600mm for trench in rock</t>
  </si>
  <si>
    <t>Disinfection of Pipe lines: Flushing with clear water, filling with water containing 0.05 g/l calcium hypochlorite, left for 24  hours. This includes supply of all necessary equipment, materials, chemicals and water, measurement of residual chlorine, all as specified and safe disposal of disinfecting water to Engineer's approval.</t>
  </si>
  <si>
    <t>Water Meters</t>
  </si>
  <si>
    <t>Slip anchors, height  1.5 - 2.0m, pipe nominal bore 400mm</t>
  </si>
  <si>
    <t>Bends</t>
  </si>
  <si>
    <t>Straight Specials</t>
  </si>
  <si>
    <t>Valves and Penstocks</t>
  </si>
  <si>
    <t>Steel Pipes - Joints as stated</t>
  </si>
  <si>
    <t>BILL 3.0 COLLECTION CARRIED TO GRAND SUMMARY</t>
  </si>
  <si>
    <t>PAGE 15 TOTAL</t>
  </si>
  <si>
    <t>Provisional Sum for Traffic Diversions,Traffic regulation; establishment, operation and removal as directed by the Engineer</t>
  </si>
  <si>
    <t>Preliminary and General Items (P&amp;G)</t>
  </si>
  <si>
    <t>Rising Main</t>
  </si>
  <si>
    <t>GRAND SUMMARY</t>
  </si>
  <si>
    <t>16% VAT</t>
  </si>
  <si>
    <t>1A1</t>
  </si>
  <si>
    <t xml:space="preserve">Contractual Requirements </t>
  </si>
  <si>
    <t>Perfomance Security</t>
  </si>
  <si>
    <t>Insurance of Works and Contractor's Equipment as per Clause 18.2 of Conditions of Contract.</t>
  </si>
  <si>
    <t>Insurance against Injuty to Third Party Persons and Damage to Property as per Clause 18.3 of Conditions of Contract.</t>
  </si>
  <si>
    <t>Insurance for Contractor's Personnel as per Clause 18.4 of Conditions of Contract</t>
  </si>
  <si>
    <t>1A2</t>
  </si>
  <si>
    <t>1A21</t>
  </si>
  <si>
    <t>1A211</t>
  </si>
  <si>
    <t>1A212</t>
  </si>
  <si>
    <t>Provide Furniture and equipment for the Engineer's office as detailed in the specification. Furniture and equipment to revert to the Employer at the end of the Contract.</t>
  </si>
  <si>
    <t>1A213</t>
  </si>
  <si>
    <t>1A214</t>
  </si>
  <si>
    <t>Provide or Rent and maintain fully furnished and functional 4No. Residential House for Resident Engineer's Team to the approval of the Engineer.</t>
  </si>
  <si>
    <t>1A22</t>
  </si>
  <si>
    <t>Provisional sum for purchase and Supply 4 No. new 4WD Project Vehicles: 3 No. double Cabin vehicles and 1 No. Station Wagon (utility) vehicle; all diesel engines and capacity 2500cc - 2800cc vehicles, all for the exclusive use by the Engineer. The vehicles are to revert to the Empoyer at the end of the project. The vehicles are subject to approval by the engineer.</t>
  </si>
  <si>
    <t>1A221</t>
  </si>
  <si>
    <t>1A222</t>
  </si>
  <si>
    <t>Allow for Contractor's overheads and profit for item 1A221</t>
  </si>
  <si>
    <t>P-Sum</t>
  </si>
  <si>
    <t>Hire or provide vehicles for period not exceeding 3 months before procuring vehicles for Engineer. The vehicles are subject to approval by the Engineer</t>
  </si>
  <si>
    <t>Month</t>
  </si>
  <si>
    <t>1A223</t>
  </si>
  <si>
    <t>1A224</t>
  </si>
  <si>
    <t>Pipeline testing and commissioning for the whole works, including all necessary equipment, materials and works necessary for testing, such as thrust blocks, anchor blocks, transportation and use of water, pipe fittings, disposal of used water.</t>
  </si>
  <si>
    <t xml:space="preserve">General site clearance for pipeline for full width of easement including grubbing out all shrubs etc and removal of all trees of girth &lt; 0.5m </t>
  </si>
  <si>
    <t xml:space="preserve">This Bill Only Covers Rates for Procurement of Pipes and Associated Fittings, Transport to Contractor's Site Store and Storage.  Including Supply of Jointing materials, couplings, Bolts, Nuts etc. </t>
  </si>
  <si>
    <t>Nominal bore 900mm in trenches, depth not exceeding 1.5m</t>
  </si>
  <si>
    <t xml:space="preserve">Transport from Site Store, Lay and Joint Pipe Fittings in Trench, Include for Excavation, Preparation of Surfaces, Disposal of Excavated Material, Shoring Sides of Excavation and Backfilling. </t>
  </si>
  <si>
    <t>(Kshs.)</t>
  </si>
  <si>
    <t>Amount</t>
  </si>
  <si>
    <t>PAGE TOTAL CARRIED TO COLLECTION PAGE</t>
  </si>
  <si>
    <t>2.8.2</t>
  </si>
  <si>
    <t>2.8.1</t>
  </si>
  <si>
    <t>Allow a Provisional Sum of Kshs. 500,000 to be used as directed by the Engineer for any other Works as may be deemed necessary on site.</t>
  </si>
  <si>
    <t>2.7.2</t>
  </si>
  <si>
    <t>2.7.1</t>
  </si>
  <si>
    <t>-Ditto - but reinforced concrete scour/overflow chamber size 2200mm x 2200mm x 2800mm deep with GMS Cat ladder</t>
  </si>
  <si>
    <t>2.6.3</t>
  </si>
  <si>
    <t>-Ditto - but Reinforced Concrete Outlet Valve Chamber size 2400mm x 2500mm x 2750mm deep with GMS Cat ladder</t>
  </si>
  <si>
    <t>2.6.2</t>
  </si>
  <si>
    <t xml:space="preserve">Provide all materials, excavate for and construct Reinforced Concrete Inlet Valve Chamber, size 3300mm x 2600mm x 2250mm deep complete with precast concrete cover slab and step irons </t>
  </si>
  <si>
    <t>2.6.1</t>
  </si>
  <si>
    <t>Excavate for, provide all materials and install Reinforced Precast Concrete Circular Drainage Manholes, 1.2m diameter; on R.C. base slab, complete with benching, step irons, etc. Include for pipe installation, forming benching, Grade 'B' medium duty Cast Iron Covers, etc.  Depth to invert n.e. 3.0m</t>
  </si>
  <si>
    <t>2.5.3</t>
  </si>
  <si>
    <t>2.5.2</t>
  </si>
  <si>
    <t>2.5.1</t>
  </si>
  <si>
    <t>Excavate for, provide all materials and construct 200 mm thick masonry headwalls including concrete Class 20/20 footings.</t>
  </si>
  <si>
    <t>2.4.12</t>
  </si>
  <si>
    <t>2.4.11</t>
  </si>
  <si>
    <t>2.4.10</t>
  </si>
  <si>
    <t>2.4.9</t>
  </si>
  <si>
    <t>-Ditto - but 1.0m wide pedestrian gate</t>
  </si>
  <si>
    <t xml:space="preserve">Provide all materials and construct Pedestrian gate 2.0m wide including 2 Nr. Pillars, footings, </t>
  </si>
  <si>
    <t>Excavate for post holes, provide all materials and construct chain link fence on concrete posts at 3m centre to centre as specified  including straining posts at every 10th post and additional posts at corners.</t>
  </si>
  <si>
    <t>2.2.13</t>
  </si>
  <si>
    <t>2.2.12</t>
  </si>
  <si>
    <t>2.2.11</t>
  </si>
  <si>
    <t>2.2.10</t>
  </si>
  <si>
    <t>2.2.9</t>
  </si>
  <si>
    <t>2.2.8</t>
  </si>
  <si>
    <t>2.2.7</t>
  </si>
  <si>
    <t>2.2.6</t>
  </si>
  <si>
    <t>2.1.13</t>
  </si>
  <si>
    <t>Extra over Excavation items for excavation in rock Class 'C' - blasting not permitted (provisional)</t>
  </si>
  <si>
    <t>2.1.12</t>
  </si>
  <si>
    <t>Extra over Excavation items for excavation in rock Class 'B' - blasting not permitted (provisional)</t>
  </si>
  <si>
    <t>2.1.11</t>
  </si>
  <si>
    <t>Extra over Excavation items for excavation in rock Class 'A' - blasting not permitted (provisional)</t>
  </si>
  <si>
    <t>2.1.10</t>
  </si>
  <si>
    <t>2.1.9</t>
  </si>
  <si>
    <t>2.1.8</t>
  </si>
  <si>
    <t>2.1.7</t>
  </si>
  <si>
    <t>Demolish existing concrete plinths and walls in buildings and structures and cart away surplus to approved tips identified by the Contractor in liaison with the Local Authorities, as directed by the Engineer</t>
  </si>
  <si>
    <t>SITE AND ANCILLARY WORKS AT STORAGE RESERVOIR</t>
  </si>
  <si>
    <t>1.10.4</t>
  </si>
  <si>
    <t>1.10.3</t>
  </si>
  <si>
    <t>1.10.2</t>
  </si>
  <si>
    <t>1.10.1</t>
  </si>
  <si>
    <t>1.9.4</t>
  </si>
  <si>
    <t xml:space="preserve">Lockable mild steel chequred plate covers over access manholes to tank as per details , for manhole size 1020mmx1020mm </t>
  </si>
  <si>
    <t>1.9.3</t>
  </si>
  <si>
    <t>1.9.2</t>
  </si>
  <si>
    <t>Galvanised mild steel ladders, height n.e. 6000 mm installed internally in the Tank, as per details on</t>
  </si>
  <si>
    <t>1.9.1</t>
  </si>
  <si>
    <t xml:space="preserve">500mm dia. Flanged spigot pipe,2250mm long with spigot end bevelled </t>
  </si>
  <si>
    <t>1.8.90</t>
  </si>
  <si>
    <t>1.8.89</t>
  </si>
  <si>
    <t>500mm dia. Flanged spigot pipe, 1500mm long with puddle flange at 100mm from spigot end</t>
  </si>
  <si>
    <t>1.8.88</t>
  </si>
  <si>
    <t>1.8.87</t>
  </si>
  <si>
    <t>250mm dia.all flanged gate valve with an extended spindle 2000mm, head stock and hand wheel</t>
  </si>
  <si>
    <t>1.8.86</t>
  </si>
  <si>
    <t>1.8.85</t>
  </si>
  <si>
    <t>250mm dia. Flanged Spigot pipe, 1200mm long with a puddle flange 655mm from one end</t>
  </si>
  <si>
    <t>250mm dia. Coupling</t>
  </si>
  <si>
    <t>1.8.84</t>
  </si>
  <si>
    <t xml:space="preserve">250mm dia. Plain ended pipe, 5200mm long with a puddle flange 100mm from one end (cut to suit on site) </t>
  </si>
  <si>
    <t>1.8.83</t>
  </si>
  <si>
    <t>(iii)  Scour Pipework - Approved Lined Ferrous Pipes and Fittings</t>
  </si>
  <si>
    <t>500mm dia. Flanged Spigot pipe, 1200mm long with puddle flange at 450mm from one end</t>
  </si>
  <si>
    <t>1.8.82</t>
  </si>
  <si>
    <t xml:space="preserve">500mm dia. Electromagnetic Water Meter complete with all requisite accessories </t>
  </si>
  <si>
    <t>1.8.81</t>
  </si>
  <si>
    <t xml:space="preserve">500mm dia. Plain ended pipe, 1200mm long with puddle flange at 450mm from one end </t>
  </si>
  <si>
    <t>1.8.80</t>
  </si>
  <si>
    <t xml:space="preserve">500mm dia. Plain ended pipe, 7000mm long (cut to suit on site) </t>
  </si>
  <si>
    <t>1.8.79</t>
  </si>
  <si>
    <t>500mm dia. flanged spigot pipe, 1200mm long with puddle flange at 500mm from the plain end</t>
  </si>
  <si>
    <t>1.8.78</t>
  </si>
  <si>
    <t xml:space="preserve">500mm dia. Plain ended pipe, 1200mm long with puddle flange at 500mm from one end </t>
  </si>
  <si>
    <t>1.8.77</t>
  </si>
  <si>
    <t xml:space="preserve">500mm dia. Plain ended pipe, 12000mm long (cut to suit on site) </t>
  </si>
  <si>
    <t>1.8.76</t>
  </si>
  <si>
    <t xml:space="preserve">500mm dia. Flanged spigot pipe, 1200mm long </t>
  </si>
  <si>
    <t>1.8.75</t>
  </si>
  <si>
    <t xml:space="preserve">500mm dia. Flanged spigot pipe, 1300mm long (cut to suit on site) </t>
  </si>
  <si>
    <t>1.8.74</t>
  </si>
  <si>
    <t>500mm x 500mm dia. All flanged tee</t>
  </si>
  <si>
    <t>1.8.73</t>
  </si>
  <si>
    <t xml:space="preserve">500mm dia. double  flanged gate valve with extended spindle 2200mm long, headstock and handwheel 
</t>
  </si>
  <si>
    <t>1.8.72</t>
  </si>
  <si>
    <t xml:space="preserve">500mm dia. Flange Adaptor </t>
  </si>
  <si>
    <t>1.8.71</t>
  </si>
  <si>
    <t xml:space="preserve">500mm dia. plain ended pipe, 1200mm long with puddle flange at 725mm from one end </t>
  </si>
  <si>
    <t>1.8.70</t>
  </si>
  <si>
    <t>500mm dia. Coupling</t>
  </si>
  <si>
    <t>1.8.69</t>
  </si>
  <si>
    <t>500mm dia. flanged spigot pipe, length 6500mm long (cut to suit on site</t>
  </si>
  <si>
    <t>1.8.68</t>
  </si>
  <si>
    <t>1.8.67</t>
  </si>
  <si>
    <t xml:space="preserve">500mm dia. Special flanged bellmouth, length 800mm with puddle flange at 600mm from flanged  end </t>
  </si>
  <si>
    <t>1.8.66</t>
  </si>
  <si>
    <t>1.8.65</t>
  </si>
  <si>
    <t>1.8.64</t>
  </si>
  <si>
    <t>1.8.63</t>
  </si>
  <si>
    <t>1.8.62</t>
  </si>
  <si>
    <t>1.8.61</t>
  </si>
  <si>
    <t>1.8.60</t>
  </si>
  <si>
    <t>1.8.59</t>
  </si>
  <si>
    <t>1.8.58</t>
  </si>
  <si>
    <t>1.8.57</t>
  </si>
  <si>
    <t>1.8.56</t>
  </si>
  <si>
    <t>1.8.55</t>
  </si>
  <si>
    <t>1.8.54</t>
  </si>
  <si>
    <t>1.8.53</t>
  </si>
  <si>
    <t>1.8.52</t>
  </si>
  <si>
    <t>1.8.51</t>
  </si>
  <si>
    <t>1.8.50</t>
  </si>
  <si>
    <t>1.8.49</t>
  </si>
  <si>
    <t>1.8.48</t>
  </si>
  <si>
    <t>1.8.47</t>
  </si>
  <si>
    <t>1.8.46</t>
  </si>
  <si>
    <t>1.8.45</t>
  </si>
  <si>
    <t>1.8.44</t>
  </si>
  <si>
    <t xml:space="preserve">500mm dia. Flanged spigot pipe, 1500mm long with puddle flange at 100mm from spigot end </t>
  </si>
  <si>
    <t>1.8.43</t>
  </si>
  <si>
    <t>1.8.42</t>
  </si>
  <si>
    <t xml:space="preserve">250mm dia.all flanged gate valve with an extended spindle 2000mm, head stock and hand wheel </t>
  </si>
  <si>
    <t>1.8.41</t>
  </si>
  <si>
    <t xml:space="preserve">250mm dia. Flanged Spigot pipe, 1200mm long with puddle flange at 655mm from one end </t>
  </si>
  <si>
    <t>1.8.40</t>
  </si>
  <si>
    <t>1.8.39</t>
  </si>
  <si>
    <t xml:space="preserve">250mm dia. Plain ended pipe, 5200mm long with puddle flange at 100mm from one end (cut to suit on site) </t>
  </si>
  <si>
    <t>1.8.38</t>
  </si>
  <si>
    <t>1.8.37</t>
  </si>
  <si>
    <t>1.8.36</t>
  </si>
  <si>
    <t>1.8.35</t>
  </si>
  <si>
    <t>1.8.34</t>
  </si>
  <si>
    <t>500mm dia. Flanged spigot pipe, 1200mm long with puddle flange at 500mm from the plain end</t>
  </si>
  <si>
    <t>1.8.33</t>
  </si>
  <si>
    <t>500mm dia. Plain ended pipe, 1200mm long with puddle flange at 500mm from one end</t>
  </si>
  <si>
    <t>1.8.32</t>
  </si>
  <si>
    <t>1.8.31</t>
  </si>
  <si>
    <t>1.8.3</t>
  </si>
  <si>
    <t>1.8.29</t>
  </si>
  <si>
    <t>1.8.28</t>
  </si>
  <si>
    <t xml:space="preserve">500mm dia. double  flanged gate valve with extended spindle 2200mm long, headstock and handwheel
</t>
  </si>
  <si>
    <t>1.8.27</t>
  </si>
  <si>
    <t>500mm dia. Flange Adaptor</t>
  </si>
  <si>
    <t>1.8.26</t>
  </si>
  <si>
    <t>500mm dia. plain ended pipe, 1200mm long with puddle flange at 725mm from one end</t>
  </si>
  <si>
    <t>1.8.25</t>
  </si>
  <si>
    <t>1.8.24</t>
  </si>
  <si>
    <t xml:space="preserve">500mm dia. flanged spigot pipe, length 6500mm long (cut to suit on site </t>
  </si>
  <si>
    <t>1.8.23</t>
  </si>
  <si>
    <t>1.8.22</t>
  </si>
  <si>
    <t>1.8.21</t>
  </si>
  <si>
    <t>1.8.20</t>
  </si>
  <si>
    <t>1.8.19</t>
  </si>
  <si>
    <t>1.8.18</t>
  </si>
  <si>
    <t>1.8.17</t>
  </si>
  <si>
    <t>1.8.16</t>
  </si>
  <si>
    <t>1.8.15</t>
  </si>
  <si>
    <t>1.8.14</t>
  </si>
  <si>
    <t>1.8.13</t>
  </si>
  <si>
    <t>1.8.12</t>
  </si>
  <si>
    <t>1.8.11</t>
  </si>
  <si>
    <t>1.8.10</t>
  </si>
  <si>
    <t>1.8.9</t>
  </si>
  <si>
    <t>1.8.8</t>
  </si>
  <si>
    <t>1.8.7</t>
  </si>
  <si>
    <t>1.8.6</t>
  </si>
  <si>
    <t>1.8.5</t>
  </si>
  <si>
    <t>1.8.4</t>
  </si>
  <si>
    <t>1.8.2</t>
  </si>
  <si>
    <t>1.8.1</t>
  </si>
  <si>
    <t>1.7.5</t>
  </si>
  <si>
    <t>1.7.4</t>
  </si>
  <si>
    <t>1.7.3</t>
  </si>
  <si>
    <t>1.7.2</t>
  </si>
  <si>
    <t>1.7.1</t>
  </si>
  <si>
    <t>Provide Class UF3 Finish for top of base slab of tank</t>
  </si>
  <si>
    <t>1.6.1</t>
  </si>
  <si>
    <t>CONCRETE SURFACE FINISH</t>
  </si>
  <si>
    <t>1.5.33</t>
  </si>
  <si>
    <t>1.5.32</t>
  </si>
  <si>
    <t>1.5.31</t>
  </si>
  <si>
    <t>Boxing out for 300 mm diameter suction pipe in 200mm thick concrete base slab of tank and making good after installation of pipework</t>
  </si>
  <si>
    <t>1.5.30</t>
  </si>
  <si>
    <t>1.5.29</t>
  </si>
  <si>
    <t>1.5.28</t>
  </si>
  <si>
    <t>1.5.27</t>
  </si>
  <si>
    <t>1.5.26</t>
  </si>
  <si>
    <t>1.5.25</t>
  </si>
  <si>
    <t>1.5.24</t>
  </si>
  <si>
    <t>1.5.23</t>
  </si>
  <si>
    <t>1.5.22</t>
  </si>
  <si>
    <t>1.5.21</t>
  </si>
  <si>
    <t>(iv)  Sloping Formwork - Class F3 Finish</t>
  </si>
  <si>
    <t>Soffit of roof slab, width exceeding 2.0 m</t>
  </si>
  <si>
    <t>1.5.20</t>
  </si>
  <si>
    <t>1.5.19</t>
  </si>
  <si>
    <t>(iii)  Horizontal Formwork - Class F3 Finish</t>
  </si>
  <si>
    <t>1.5.18</t>
  </si>
  <si>
    <t>1.5.17</t>
  </si>
  <si>
    <t>1.5.16</t>
  </si>
  <si>
    <t>1.5.15</t>
  </si>
  <si>
    <t>1.5.14</t>
  </si>
  <si>
    <t>1.5.13</t>
  </si>
  <si>
    <t>1.5.12</t>
  </si>
  <si>
    <t>1.5.11</t>
  </si>
  <si>
    <t>1.5.10</t>
  </si>
  <si>
    <t>1.5.9</t>
  </si>
  <si>
    <t>1.5.8</t>
  </si>
  <si>
    <t>1.5.7</t>
  </si>
  <si>
    <t>1.5.4</t>
  </si>
  <si>
    <t>(ii)  Vertical Formwork - Class F3 Finish</t>
  </si>
  <si>
    <t>1.5.3</t>
  </si>
  <si>
    <t>1.5.2</t>
  </si>
  <si>
    <t>(i)  Vertical Formwork - Class F1 Finish</t>
  </si>
  <si>
    <t>1.3.16</t>
  </si>
  <si>
    <t>Colums (excluding top flared heads)</t>
  </si>
  <si>
    <t>1.3.15</t>
  </si>
  <si>
    <t>Partition wall (thickness 300mm)</t>
  </si>
  <si>
    <t>-Ditto- but in rock Class 'C'</t>
  </si>
  <si>
    <t>-Ditto- but in rock Class 'B'</t>
  </si>
  <si>
    <t>Extra Over excavation items for excavation in rock Class 'A', blasting not permitted (Provisional)</t>
  </si>
  <si>
    <t>-Ditto- but maximum depth exceeding 5.0 m</t>
  </si>
  <si>
    <t>-Ditto- but maximum depth 1.0 m to 2.0 m</t>
  </si>
  <si>
    <t>Maximum depth n.e. 1.0 m</t>
  </si>
  <si>
    <t>Bulk excavations and top soil stripping for all structures at the  Reservoir site are measured under Section 2 of this bill  (Site &amp; Ancillary Works)</t>
  </si>
  <si>
    <t>cts</t>
  </si>
  <si>
    <t>(Kshs)</t>
  </si>
  <si>
    <t>AMOUNT</t>
  </si>
  <si>
    <t>RATE</t>
  </si>
  <si>
    <t>QUANTITY</t>
  </si>
  <si>
    <t>Pump Station</t>
  </si>
  <si>
    <t xml:space="preserve">Transport the procured pipes to site, break out surface, excavate trench, cut and lay pipes, backfill with selected material from the trench excavations and compact, disposal of surplus all as specified, shoring Sides of Excavation trenches, Backfilling and final Reinstatement. </t>
  </si>
  <si>
    <t>Flanged steel pipes, Nominal Bore 250mm in trenches (for washouts)</t>
  </si>
  <si>
    <t>Depth 2.0m - 2.5m</t>
  </si>
  <si>
    <t>uPVC Socket and Spigot Pipes</t>
  </si>
  <si>
    <t>uPVC Class "B" Socket and Spigot pipes for draining of chambers: Nominal Bore - 160mm in trenches</t>
  </si>
  <si>
    <t>Depth 2.5m - 3.0m</t>
  </si>
  <si>
    <t xml:space="preserve">All Flanged Level Invert Tee </t>
  </si>
  <si>
    <t>J323.1</t>
  </si>
  <si>
    <t>J34</t>
  </si>
  <si>
    <t>Ferrous Couplings</t>
  </si>
  <si>
    <t>Straight Couplings</t>
  </si>
  <si>
    <t>J341.1</t>
  </si>
  <si>
    <t>J35</t>
  </si>
  <si>
    <t>Ferrous Flange Adaptor</t>
  </si>
  <si>
    <t>J351.1</t>
  </si>
  <si>
    <t>J352.1</t>
  </si>
  <si>
    <t>J8</t>
  </si>
  <si>
    <t>J81</t>
  </si>
  <si>
    <t>J811.1</t>
  </si>
  <si>
    <t>J811.2</t>
  </si>
  <si>
    <t>J814.1</t>
  </si>
  <si>
    <t>J86</t>
  </si>
  <si>
    <t>Air Valve</t>
  </si>
  <si>
    <t>J861.1</t>
  </si>
  <si>
    <t>J861.1.1</t>
  </si>
  <si>
    <t>J324.41</t>
  </si>
  <si>
    <t>J324.40</t>
  </si>
  <si>
    <t>J324.42</t>
  </si>
  <si>
    <t xml:space="preserve">All Flanged and or single end threading Tee </t>
  </si>
  <si>
    <t>Blank Flanged Tee</t>
  </si>
  <si>
    <t>J325</t>
  </si>
  <si>
    <t>Rates to include for provision and fixing.  Flanges to NP20 steel unless otherwise stated</t>
  </si>
  <si>
    <t>DN 250, PN 16</t>
  </si>
  <si>
    <t>J861.1.2</t>
  </si>
  <si>
    <t>J861.1.3</t>
  </si>
  <si>
    <t>DN 50, PN 16</t>
  </si>
  <si>
    <t>DN 80, PN 16</t>
  </si>
  <si>
    <t>DN 100, PN 16</t>
  </si>
  <si>
    <t>All Flanged Gate Valve</t>
  </si>
  <si>
    <t>Gate Valves for Washouts and line valves to be supplied complete with extension Spindle n.e. 2.0m and Tee- key. Air valve isolating valves to be supplied with wheel only. Contractor's rates to include for this</t>
  </si>
  <si>
    <t>DN 250, PN 16, with Extension Spindle, length n.e. 3.0m without handwheel (for washouts)</t>
  </si>
  <si>
    <t>J811.3</t>
  </si>
  <si>
    <t>J811.4</t>
  </si>
  <si>
    <t>DN 50, PN16</t>
  </si>
  <si>
    <t>DN 80, PN16</t>
  </si>
  <si>
    <t>DN 100, PN16</t>
  </si>
  <si>
    <t>Chambers, ducts, culverts, crossings, thrust,  anchor blocks, reinstatement and others pipework ancillaries.</t>
  </si>
  <si>
    <t>K21</t>
  </si>
  <si>
    <t>IN SITU CONCRETE CHAMBERS</t>
  </si>
  <si>
    <t>Provide all materials and construct reinforced concrete chambers, internal dimensions 1800mm x 1200mm. Include for supply and fixing of removable precast concrete covers, step irons, compacted granular fill, rendering of exposed blockwork etc.</t>
  </si>
  <si>
    <t>Allow for gulley crossings, including all couplings, reinforced concrete piers, surrounds, bearings etc. Length n.e 30m</t>
  </si>
  <si>
    <t xml:space="preserve">Page 1 </t>
  </si>
  <si>
    <t>Page 2</t>
  </si>
  <si>
    <t>Tarmac/paved roads. Pipe nominal bore 700 - 900mm</t>
  </si>
  <si>
    <t>Gravel Roads. Pipe nominal bore 700 - 900mm.</t>
  </si>
  <si>
    <t>X1.1</t>
  </si>
  <si>
    <t>LS</t>
  </si>
  <si>
    <t>K211</t>
  </si>
  <si>
    <t>K61</t>
  </si>
  <si>
    <t>K692</t>
  </si>
  <si>
    <t>K694</t>
  </si>
  <si>
    <t>K732.1</t>
  </si>
  <si>
    <t>K732.2</t>
  </si>
  <si>
    <t>K820.1</t>
  </si>
  <si>
    <t>K820.2</t>
  </si>
  <si>
    <t>K820.3</t>
  </si>
  <si>
    <t>L111</t>
  </si>
  <si>
    <t>L121</t>
  </si>
  <si>
    <t>L713.2</t>
  </si>
  <si>
    <t>L713.3</t>
  </si>
  <si>
    <t>L713.4</t>
  </si>
  <si>
    <t>L713.5</t>
  </si>
  <si>
    <t>L834.1</t>
  </si>
  <si>
    <t>Maintain, insure, fuel, lubricate and servicing of the transport vehicles as per item 1A221 for the Contract Period - Allow approximately 7,500 km per vehicle month</t>
  </si>
  <si>
    <t>Vehicle month</t>
  </si>
  <si>
    <t>1A225</t>
  </si>
  <si>
    <t>Extra over for mileage over 7,500km per vehicle per month</t>
  </si>
  <si>
    <t>Flanged Gate Valve</t>
  </si>
  <si>
    <t>Double flanged Steel pipes with the accompanying jointing</t>
  </si>
  <si>
    <t>DN 300 PN 16 Pipe</t>
  </si>
  <si>
    <t>Double flanged Steel Pipes or Plain Ended steel pipes with Puddle flanges (Location of Puddle Flange Varies)</t>
  </si>
  <si>
    <t>DN 300 PN 16, 1.5m long</t>
  </si>
  <si>
    <t xml:space="preserve">DN 300, PN 16 with handwheel </t>
  </si>
  <si>
    <t>Non Returrn Valve</t>
  </si>
  <si>
    <t>J381.7</t>
  </si>
  <si>
    <t>Supply and install a Nominal bore 300mm non return valve approved by the Engineer. Rate to include all jointing/fittings materials.</t>
  </si>
  <si>
    <t>Supply and install a dismantling joint for the Nominal bore DN 300mm for the pump suction pipeline as directed and aproved by the engineer</t>
  </si>
  <si>
    <t>Tapers</t>
  </si>
  <si>
    <t>All Flanged Concentric Tapers</t>
  </si>
  <si>
    <t>Nominal Bore 300, steel plain ended bends with provision for couplings for jointing.</t>
  </si>
  <si>
    <t>45⁰  DN 300, PN 16</t>
  </si>
  <si>
    <t>DN 500 x DN 300, PN 16</t>
  </si>
  <si>
    <t>Supply and install pressure gauge for the pump suction pipe as directed and approved by the engineer</t>
  </si>
  <si>
    <t>PUMPS</t>
  </si>
  <si>
    <t>1A226</t>
  </si>
  <si>
    <t>P-sum</t>
  </si>
  <si>
    <t>SECOND BARICHO KAKUYUNI WATER SUPPLY PROJECT</t>
  </si>
  <si>
    <t>BILL No.</t>
  </si>
  <si>
    <t>ELECTRICAL WOKS</t>
  </si>
  <si>
    <t>POWER SUPPLY</t>
  </si>
  <si>
    <t>POWER DISTRIBUTION</t>
  </si>
  <si>
    <t>MAIN SWITCHBOARD</t>
  </si>
  <si>
    <t>Set</t>
  </si>
  <si>
    <t>L.sum</t>
  </si>
  <si>
    <t>Lot</t>
  </si>
  <si>
    <t>1.3.1.1</t>
  </si>
  <si>
    <t>1.7</t>
  </si>
  <si>
    <t>1.8</t>
  </si>
  <si>
    <t>BILL 04 Collection Page</t>
  </si>
  <si>
    <t>10% CONTIGENCIES</t>
  </si>
  <si>
    <t>DN 800mm Steel pipes, PN16</t>
  </si>
  <si>
    <t>DN 800mm Steel Pipes</t>
  </si>
  <si>
    <t>DN 800 PN 16</t>
  </si>
  <si>
    <t>Day Works</t>
  </si>
  <si>
    <t>PC Sum of Kshs. 1,000,000 for provision of communication facilities for the Project Supervision staff/Employers staff as directed  by the project manager</t>
  </si>
  <si>
    <t>Allow a Provisional Sum of Kshs. 2,000,000 for Implementation of EHS and C-ESMP while undertaking the works including facilitation for  stakeholders liaison, community consultation and any other related mobilization for smooth execution of the works.</t>
  </si>
  <si>
    <t>Allow a Provisional sum of Kshs. 1,500,000/- , to be spent in whole or part, for confirmatory geotechnical investigations to be undertaken as directed by the Engineer.</t>
  </si>
  <si>
    <t>Ditto - but depth 1.5m - 2m</t>
  </si>
  <si>
    <t>Ditto - but depth exceeding 2m</t>
  </si>
  <si>
    <t>Depth 1.5m - 2.5m</t>
  </si>
  <si>
    <t>Supply and install a Nominal bore 300mm pressure regulating valve approved by the Engineer. Rate to include all jointing/fittings materials.</t>
  </si>
  <si>
    <t>X1.2</t>
  </si>
  <si>
    <t>Provide all materials and construct reinforced concrete SWAB CATCHER chambers, internal dimensions 4800mm x 3300mm. Include for supply and fixing of removable precast concrete covers, step irons, compacted granular fill, rendering of exposed blockwork etc. Supply and install all the accompanying fittings for the SWAB CATCHER chamber as per the drawings and according to the specifications.</t>
  </si>
  <si>
    <t>Provide all materials and construct reinforced concrete SWAB LAUNCHER chambers, internal dimensions 4800mm x 3300mm. Include for supply and fixing of removable precast concrete covers, step irons, compacted granular fill, rendering of exposed blockwork etc. Supply and install all the accompanying fittings for the SWAB LAUNCHER chamber as per the drawings and according to the specifications.</t>
  </si>
  <si>
    <t>Nominal bore 800mm x 200mm plain ended with flanged branch tee (for Air Valves)</t>
  </si>
  <si>
    <t>Nominal bore 800mm x 250mm plain ended with flanged branch level invert tee (for Washouts)</t>
  </si>
  <si>
    <t>DN 800 x 100, PN 16 (for air valve)</t>
  </si>
  <si>
    <t>DN 800 x 75, PN 16 (for air valve)</t>
  </si>
  <si>
    <t>DN 800 x 50, PN 16 (for air valve)</t>
  </si>
  <si>
    <t>DN 800 x 250, PN 16 (for washouts)</t>
  </si>
  <si>
    <t>DN 800 x 200, PN 16 (for future offtakes)</t>
  </si>
  <si>
    <t>DN 800, PN 16</t>
  </si>
  <si>
    <t>Micro-tunnelling below the bituminous road.             Nominal bores 800 mm</t>
  </si>
  <si>
    <t>X1.3</t>
  </si>
  <si>
    <t>Supply DN 400mm pressure sustaining valve and all the accompanying fittings, doubel flanged, stainless steel type 303 of volatge 240V/50Hz AC in accordance with the specifications and as approved by the engineer</t>
  </si>
  <si>
    <t xml:space="preserve">nr </t>
  </si>
  <si>
    <t>PN16 Steel Pipes, epoxy lined, epoxy coated with polyethylene coating  Pushfit Socket and Spigot Joints and couplings where necessary with rubber gaskets</t>
  </si>
  <si>
    <t>DN 800, PN 16 with handwheel, gear mechanism and in-built bypass vavlve</t>
  </si>
  <si>
    <t>Flanged Air Valves shall be Anti shock combination air valves, full bore single chamber double function 
combination air valve with a built in anti-water hammer non slam surge prevention system. The air valve allows release of air pockets from pressurized pipelines, and admits large volume of air in the event of pipe draining/burst, to prevent vacuum and negative Pressure conditions</t>
  </si>
  <si>
    <t>Supply and install a Nominal bore 800mm dia electromagnetic master meter with AMR capability, Lithium battery with a life of 5 yrs.as specified and approved by the Engineer. Rate to include all jointing/fittings materials and chamber installation as per drawings</t>
  </si>
  <si>
    <t>Breaking through the wall of the existing pump house to allow passage of the DN 300mm steel suction pipework to the 3No. Pumps inlet as per specification and indicated on the pump pipework drawing. This will include also the preparation for the existing base plinths for mounting the pumps</t>
  </si>
  <si>
    <t xml:space="preserve">GRAND TOTAL </t>
  </si>
  <si>
    <t>Allow a provisional sum of KES 1,000,000 Engineer's Representative office communication, internet, telephone, airtime charges for duration of the assignment.</t>
  </si>
  <si>
    <t>Provide and maintain of surveying instruments (RTK type, to be specified by the Engineer) for the use of the Engineer's staff (Provisional). Ownership to revert to the Employer.</t>
  </si>
  <si>
    <t>Pipeline Horizontal and Vertical Bends - Push fit</t>
  </si>
  <si>
    <t xml:space="preserve">Pipeline Horizontal and vertical Bends - All flanged (Provisional) </t>
  </si>
  <si>
    <t>Boxing out for 800 mm diameter inlet pipe in 300mm thick concrete wall of tank and making good after installation of pipework</t>
  </si>
  <si>
    <t xml:space="preserve">800mm dia. Coupling  </t>
  </si>
  <si>
    <t xml:space="preserve">800mm dia. Flanged spigot pipe, 1200mm long </t>
  </si>
  <si>
    <t xml:space="preserve">800mm dia. Plain ended pipe, 30000mm long With Couplings (cut to suit on site) </t>
  </si>
  <si>
    <t xml:space="preserve">800mm dia. Plain ended pipe, 1200mm long with puddle flange at 650mm from one end </t>
  </si>
  <si>
    <t xml:space="preserve">800mm x 600mm dia. All flanged tee </t>
  </si>
  <si>
    <t xml:space="preserve">600mm dia. All flanged gate valve with an extended spindle 1800mm long, head stock and hand wheel </t>
  </si>
  <si>
    <t xml:space="preserve">600mm dia. Flange adaptor </t>
  </si>
  <si>
    <t xml:space="preserve">600mm dia. Flanged spigot pipe, 1835mm long with puddle flange at 625mm from plain end </t>
  </si>
  <si>
    <t>600mm dia. All flanged pipe, 1300mm long with a puddle flange at 450mmm from one end</t>
  </si>
  <si>
    <t xml:space="preserve">600mm dia. Flanged ball float valve (series 1042-Biwater or approved equivalent) </t>
  </si>
  <si>
    <t xml:space="preserve">600mm dia. Flanged spigot pipe, 1000mm long </t>
  </si>
  <si>
    <t xml:space="preserve">800mm x 600mm dia. All flanged concentric taper </t>
  </si>
  <si>
    <t>600mm dia. Plain ended pipe, 1200mm long with puddle flange at 625mm from one end</t>
  </si>
  <si>
    <t xml:space="preserve">600mm dia. Coupling </t>
  </si>
  <si>
    <t xml:space="preserve">600mm dia. Plain ended pipe, 12000mm long </t>
  </si>
  <si>
    <t xml:space="preserve">600mm dia. Flanged Spigot pipe, 10000mm long (cut to suit on site) </t>
  </si>
  <si>
    <t xml:space="preserve">600mm dia. Flanged spigot pipe, 2000mm long (cut to suit on site) </t>
  </si>
  <si>
    <t>800mm dia. Plain ended pipe, 30,000mm long  With Couplings (cut to suit on sitea)</t>
  </si>
  <si>
    <t>800mm dia. Plain ended pipe, 1200mm long with puddle flange at 650mm from one end</t>
  </si>
  <si>
    <t>600mm dia. All flanged gate valve with an extended spindle 1800mm long, head stock and hand wheel</t>
  </si>
  <si>
    <t>600mm dia. All flanged pipe, 1300mm long with puddle flange at 450mmm from one end</t>
  </si>
  <si>
    <t>800mm x 600mm dia. All flanged concentric taper</t>
  </si>
  <si>
    <t xml:space="preserve">600mm dia. Plain ended pipe, 1200mm long with puddle flange at 625mm from one end </t>
  </si>
  <si>
    <t>600mm dia. Plain ended pipe, 12000mm long</t>
  </si>
  <si>
    <t>600mm dia. Flanged spigot pipe, 2000mm long (cut to suit on site)</t>
  </si>
  <si>
    <t>DN 800 x DN 500, PN 16</t>
  </si>
  <si>
    <t>Sub Total 2</t>
  </si>
  <si>
    <t>Allow for Contractor's overhead and profit for item 1A226</t>
  </si>
  <si>
    <t>Allow for Contractor's overhead and profit for item 1A231.1</t>
  </si>
  <si>
    <t xml:space="preserve">Provide the following Staff for the Resident Engineer's Office. (Note: The Staff to be employed by the Contractor but to be under the exclusive day to day instruction of the Resident Engineer).   </t>
  </si>
  <si>
    <t xml:space="preserve">Month </t>
  </si>
  <si>
    <t>Provisional Sum of KES 5,000,000 for fees requested by various authorities and agencies</t>
  </si>
  <si>
    <t>Allow for Contractor's overhead and profit for item 1A212 - 1A213</t>
  </si>
  <si>
    <t>Provision, fixing, maintaining and removal of Project Publicity signboards and plaque</t>
  </si>
  <si>
    <t xml:space="preserve">Allow a provisional sum of Kshs. 1,500,000 to cover facilitation for the Project Management by the Employer's team as directed by the Project Manager. </t>
  </si>
  <si>
    <t>1A42.5</t>
  </si>
  <si>
    <t>1A42.6</t>
  </si>
  <si>
    <t>1A41.4</t>
  </si>
  <si>
    <t>1A41.3</t>
  </si>
  <si>
    <t>1A42.7</t>
  </si>
  <si>
    <t>1A42.8</t>
  </si>
  <si>
    <t>Allow for Contractor's overhead and profit for item 1A41.3-1A42.7</t>
  </si>
  <si>
    <t>Allow provisional sum of kshs. 10,000,000 to be spent in whole or part, for Project's Corporate Social Responsibility to the Kakuyuni High School in Constructing a 96 capacity dormitory with beds. This expense will be expended as directed by the Project Manager</t>
  </si>
  <si>
    <t xml:space="preserve">(i)  Inlet Pipework - Epoxy Lined Ferrous Pipes and Fittings </t>
  </si>
  <si>
    <t xml:space="preserve">(ii)  Outlet Pipework- Epoxy Lined Ferrous Pipes and Fittings </t>
  </si>
  <si>
    <t>(iii)  Scour Pipework - Epoxy Lined Ferrous Pipes and Fittings</t>
  </si>
  <si>
    <t>(iv)  Overflow Pipework - Epoxy Lined Ferrous Pipes and Fittings</t>
  </si>
  <si>
    <t>(ii)  Outlet Pipework- Epoxy Lined Ferrous Pipes and Fittings</t>
  </si>
  <si>
    <t>(iv)  Overflow Pipework - Expoxy Lined Ferrous Pipes and Fittings</t>
  </si>
  <si>
    <t>The steel fittings shall be Epoxy  Coated and Lined, a mix of Push fit, plain ended and flanged. Flanges to  NP20 for all fittings and valves</t>
  </si>
  <si>
    <t>Supply and install pipe work, as per drawings, specification and approved by the Engineer, for the pump station. The works shall include jointing the pipes on the surface supported on reinforced concrete piers. The DN 300mm suction pipe from the pumps will feed the DN 800 rising main</t>
  </si>
  <si>
    <t>-</t>
  </si>
  <si>
    <r>
      <t>Provide all materials and construct offices for the Resident Engineer at a site provided by the Employer and as detailed in the Book of Drawings and according to the specifications, total floor area of 250 m</t>
    </r>
    <r>
      <rPr>
        <vertAlign val="superscript"/>
        <sz val="12"/>
        <color indexed="8"/>
        <rFont val="Calibri"/>
        <family val="2"/>
        <scheme val="minor"/>
      </rPr>
      <t>2</t>
    </r>
    <r>
      <rPr>
        <sz val="12"/>
        <color indexed="8"/>
        <rFont val="Calibri"/>
        <family val="2"/>
        <scheme val="minor"/>
      </rPr>
      <t>. The office shall revert to the Employer at the end of the Contract.</t>
    </r>
  </si>
  <si>
    <t>BROUGHT FORWARD FROM PAGE 4</t>
  </si>
  <si>
    <t>1A233</t>
  </si>
  <si>
    <t>1A110</t>
  </si>
  <si>
    <t>1A120.1</t>
  </si>
  <si>
    <t>1A120.2</t>
  </si>
  <si>
    <t>1A120.3</t>
  </si>
  <si>
    <t>1A24</t>
  </si>
  <si>
    <t>1A240</t>
  </si>
  <si>
    <t>1No. Office Secretary.</t>
  </si>
  <si>
    <t>1A240.1</t>
  </si>
  <si>
    <t>1No. Office Assistant.</t>
  </si>
  <si>
    <t>4No. Drivers - (4Nr x 12 months each).</t>
  </si>
  <si>
    <t>3No. Three Chainmen - (3Nr x 12 months each).</t>
  </si>
  <si>
    <t>Allow for Contractor's overhead and profit for item 1A240 - 1A242</t>
  </si>
  <si>
    <t>1A24.1</t>
  </si>
  <si>
    <t>Provisional sum of KES 500,000 for testing of materials as specified or directed by the Engineer</t>
  </si>
  <si>
    <t>Allow for Contractor's overhead and profit for item 1A250.1</t>
  </si>
  <si>
    <t>Temporary Works</t>
  </si>
  <si>
    <t>1A27</t>
  </si>
  <si>
    <t>1A270</t>
  </si>
  <si>
    <t>1A271</t>
  </si>
  <si>
    <t>1A279.2</t>
  </si>
  <si>
    <t>1A279.3</t>
  </si>
  <si>
    <t>Allow a provisional sum of Kshs. 5,000,000 for Inspection and Witness Testing of Pipes, Fittings,Pumps and Equipment at manufacturer's premises by the Employer, Engineer and their representatives.</t>
  </si>
  <si>
    <t>Allow for Contractor's overhead and profit for item 1A279.1 - 1A279.2</t>
  </si>
  <si>
    <t>BILL 2 - SECOND BARICHO - KAKUYUNI RISING MAIN</t>
  </si>
  <si>
    <r>
      <t>Nominal bore 800mm 11¼</t>
    </r>
    <r>
      <rPr>
        <vertAlign val="superscript"/>
        <sz val="12"/>
        <rFont val="Calibri"/>
        <family val="2"/>
        <scheme val="minor"/>
      </rPr>
      <t>o</t>
    </r>
    <r>
      <rPr>
        <sz val="12"/>
        <rFont val="Calibri"/>
        <family val="2"/>
        <scheme val="minor"/>
      </rPr>
      <t xml:space="preserve"> bend</t>
    </r>
  </si>
  <si>
    <r>
      <t>Nominal bore 800mm 22½</t>
    </r>
    <r>
      <rPr>
        <vertAlign val="superscript"/>
        <sz val="12"/>
        <rFont val="Calibri"/>
        <family val="2"/>
        <scheme val="minor"/>
      </rPr>
      <t>o</t>
    </r>
    <r>
      <rPr>
        <sz val="12"/>
        <rFont val="Calibri"/>
        <family val="2"/>
        <scheme val="minor"/>
      </rPr>
      <t xml:space="preserve"> bend</t>
    </r>
  </si>
  <si>
    <r>
      <t>Nominal bore 800mm   45</t>
    </r>
    <r>
      <rPr>
        <vertAlign val="superscript"/>
        <sz val="12"/>
        <rFont val="Calibri"/>
        <family val="2"/>
        <scheme val="minor"/>
      </rPr>
      <t>o</t>
    </r>
    <r>
      <rPr>
        <sz val="12"/>
        <rFont val="Calibri"/>
        <family val="2"/>
        <scheme val="minor"/>
      </rPr>
      <t xml:space="preserve"> bend</t>
    </r>
  </si>
  <si>
    <r>
      <t>Nominal bore 800mm   90</t>
    </r>
    <r>
      <rPr>
        <vertAlign val="superscript"/>
        <sz val="12"/>
        <rFont val="Calibri"/>
        <family val="2"/>
        <scheme val="minor"/>
      </rPr>
      <t>o</t>
    </r>
    <r>
      <rPr>
        <sz val="12"/>
        <rFont val="Calibri"/>
        <family val="2"/>
        <scheme val="minor"/>
      </rPr>
      <t xml:space="preserve"> bend</t>
    </r>
  </si>
  <si>
    <r>
      <t>Nominal Bore 800mm (11¼</t>
    </r>
    <r>
      <rPr>
        <vertAlign val="superscript"/>
        <sz val="12"/>
        <rFont val="Calibri"/>
        <family val="2"/>
        <scheme val="minor"/>
      </rPr>
      <t>o</t>
    </r>
    <r>
      <rPr>
        <sz val="12"/>
        <rFont val="Calibri"/>
        <family val="2"/>
        <scheme val="minor"/>
      </rPr>
      <t>, 22½</t>
    </r>
    <r>
      <rPr>
        <vertAlign val="superscript"/>
        <sz val="12"/>
        <rFont val="Calibri"/>
        <family val="2"/>
        <scheme val="minor"/>
      </rPr>
      <t>o</t>
    </r>
    <r>
      <rPr>
        <sz val="12"/>
        <rFont val="Calibri"/>
        <family val="2"/>
        <scheme val="minor"/>
      </rPr>
      <t>, 45</t>
    </r>
    <r>
      <rPr>
        <vertAlign val="superscript"/>
        <sz val="12"/>
        <rFont val="Calibri"/>
        <family val="2"/>
        <scheme val="minor"/>
      </rPr>
      <t>o</t>
    </r>
    <r>
      <rPr>
        <sz val="12"/>
        <rFont val="Calibri"/>
        <family val="2"/>
        <scheme val="minor"/>
      </rPr>
      <t xml:space="preserve"> &amp; 90</t>
    </r>
    <r>
      <rPr>
        <vertAlign val="superscript"/>
        <sz val="12"/>
        <rFont val="Calibri"/>
        <family val="2"/>
        <scheme val="minor"/>
      </rPr>
      <t>o</t>
    </r>
    <r>
      <rPr>
        <sz val="12"/>
        <rFont val="Calibri"/>
        <family val="2"/>
        <scheme val="minor"/>
      </rPr>
      <t>)</t>
    </r>
  </si>
  <si>
    <r>
      <t>Nominal bore 250mm, flanged plain ended 90</t>
    </r>
    <r>
      <rPr>
        <vertAlign val="superscript"/>
        <sz val="12"/>
        <rFont val="Calibri"/>
        <family val="2"/>
        <scheme val="minor"/>
      </rPr>
      <t>o</t>
    </r>
    <r>
      <rPr>
        <sz val="12"/>
        <rFont val="Calibri"/>
        <family val="2"/>
        <scheme val="minor"/>
      </rPr>
      <t xml:space="preserve"> bend (for Type 1 Washouts)</t>
    </r>
  </si>
  <si>
    <r>
      <t>Nominal bore 200mm, double flanged long radius 90</t>
    </r>
    <r>
      <rPr>
        <vertAlign val="superscript"/>
        <sz val="12"/>
        <rFont val="Calibri"/>
        <family val="2"/>
        <scheme val="minor"/>
      </rPr>
      <t>o</t>
    </r>
    <r>
      <rPr>
        <sz val="12"/>
        <rFont val="Calibri"/>
        <family val="2"/>
        <scheme val="minor"/>
      </rPr>
      <t xml:space="preserve"> bend (for air valves vents)</t>
    </r>
  </si>
  <si>
    <r>
      <rPr>
        <b/>
        <u/>
        <sz val="12"/>
        <rFont val="Calibri"/>
        <family val="2"/>
        <scheme val="minor"/>
      </rPr>
      <t>Note:</t>
    </r>
    <r>
      <rPr>
        <sz val="12"/>
        <rFont val="Calibri"/>
        <family val="2"/>
        <scheme val="minor"/>
      </rPr>
      <t>- Items for Work in this class shall include:-
- Excavation, preparation of surfaces, disposal of surplus excavated material, shoring sides of excavation, backfilling and removal of redundant services.
- Concrete, Reinforcement, Formwork, Joints and Finishes.</t>
    </r>
  </si>
  <si>
    <r>
      <rPr>
        <b/>
        <i/>
        <sz val="12"/>
        <rFont val="Calibri"/>
        <family val="2"/>
        <scheme val="minor"/>
      </rPr>
      <t>Micro-tunnelling below bituminous road</t>
    </r>
    <r>
      <rPr>
        <i/>
        <sz val="12"/>
        <rFont val="Calibri"/>
        <family val="2"/>
        <scheme val="minor"/>
      </rPr>
      <t xml:space="preserve">
</t>
    </r>
  </si>
  <si>
    <r>
      <t>m</t>
    </r>
    <r>
      <rPr>
        <vertAlign val="superscript"/>
        <sz val="12"/>
        <rFont val="Calibri"/>
        <family val="2"/>
        <scheme val="minor"/>
      </rPr>
      <t>3</t>
    </r>
  </si>
  <si>
    <r>
      <t>Thrust blocks - Class 20/20 Mass Concrete, Volume 0.2 - 0.5m</t>
    </r>
    <r>
      <rPr>
        <i/>
        <u/>
        <vertAlign val="superscript"/>
        <sz val="12"/>
        <rFont val="Calibri"/>
        <family val="2"/>
        <scheme val="minor"/>
      </rPr>
      <t>3</t>
    </r>
  </si>
  <si>
    <r>
      <t>For DN 800 11.5</t>
    </r>
    <r>
      <rPr>
        <vertAlign val="superscript"/>
        <sz val="12"/>
        <rFont val="Calibri"/>
        <family val="2"/>
        <scheme val="minor"/>
      </rPr>
      <t>o</t>
    </r>
    <r>
      <rPr>
        <sz val="12"/>
        <rFont val="Calibri"/>
        <family val="2"/>
        <scheme val="minor"/>
      </rPr>
      <t xml:space="preserve"> bend </t>
    </r>
  </si>
  <si>
    <r>
      <t>For DN 800 22.5</t>
    </r>
    <r>
      <rPr>
        <vertAlign val="superscript"/>
        <sz val="12"/>
        <rFont val="Calibri"/>
        <family val="2"/>
        <scheme val="minor"/>
      </rPr>
      <t>o</t>
    </r>
    <r>
      <rPr>
        <sz val="12"/>
        <rFont val="Calibri"/>
        <family val="2"/>
        <scheme val="minor"/>
      </rPr>
      <t xml:space="preserve"> bend </t>
    </r>
  </si>
  <si>
    <r>
      <t>For DN 800 45</t>
    </r>
    <r>
      <rPr>
        <vertAlign val="superscript"/>
        <sz val="12"/>
        <rFont val="Calibri"/>
        <family val="2"/>
        <scheme val="minor"/>
      </rPr>
      <t>o</t>
    </r>
    <r>
      <rPr>
        <sz val="12"/>
        <rFont val="Calibri"/>
        <family val="2"/>
        <scheme val="minor"/>
      </rPr>
      <t xml:space="preserve"> bend</t>
    </r>
  </si>
  <si>
    <r>
      <t>For DN 800 90</t>
    </r>
    <r>
      <rPr>
        <vertAlign val="superscript"/>
        <sz val="12"/>
        <rFont val="Calibri"/>
        <family val="2"/>
        <scheme val="minor"/>
      </rPr>
      <t>o</t>
    </r>
    <r>
      <rPr>
        <sz val="12"/>
        <rFont val="Calibri"/>
        <family val="2"/>
        <scheme val="minor"/>
      </rPr>
      <t xml:space="preserve"> bend</t>
    </r>
  </si>
  <si>
    <t>BILL 2 Collection Page</t>
  </si>
  <si>
    <t>BROUGHT FORWARD FROM PAGE 5</t>
  </si>
  <si>
    <t>BROUGHT FORWARD FROM PAGE 6</t>
  </si>
  <si>
    <t>BROUGHT FORWARD FROM PAGE 7</t>
  </si>
  <si>
    <t>BILL 2 COLLECTION CARRIED TO GRAND SUMMARY</t>
  </si>
  <si>
    <r>
      <t>Thrust blocks - RC, Class 25/20 Volume 0.5 - 1.5m</t>
    </r>
    <r>
      <rPr>
        <b/>
        <i/>
        <u/>
        <vertAlign val="superscript"/>
        <sz val="12"/>
        <rFont val="Calibri"/>
        <family val="2"/>
        <scheme val="minor"/>
      </rPr>
      <t>3</t>
    </r>
  </si>
  <si>
    <t>J323.2</t>
  </si>
  <si>
    <t>J311.2</t>
  </si>
  <si>
    <t>J311.1</t>
  </si>
  <si>
    <t>J313.6</t>
  </si>
  <si>
    <t>J313.5</t>
  </si>
  <si>
    <t>J313.4</t>
  </si>
  <si>
    <t>J313.2</t>
  </si>
  <si>
    <t>J313.1</t>
  </si>
  <si>
    <t>I445.2</t>
  </si>
  <si>
    <t>I445.1</t>
  </si>
  <si>
    <t>I445</t>
  </si>
  <si>
    <t>I444</t>
  </si>
  <si>
    <t>I443.1</t>
  </si>
  <si>
    <t>I442.1</t>
  </si>
  <si>
    <t>I441.1</t>
  </si>
  <si>
    <t>I43</t>
  </si>
  <si>
    <t>D310</t>
  </si>
  <si>
    <t>D220</t>
  </si>
  <si>
    <t>D210</t>
  </si>
  <si>
    <t>D100</t>
  </si>
  <si>
    <t>A252</t>
  </si>
  <si>
    <t>A251</t>
  </si>
  <si>
    <t>A25</t>
  </si>
  <si>
    <r>
      <t>BILL No. 3 - 5,000 m</t>
    </r>
    <r>
      <rPr>
        <b/>
        <u/>
        <vertAlign val="superscript"/>
        <sz val="14"/>
        <rFont val="Calibri"/>
        <family val="2"/>
        <scheme val="minor"/>
      </rPr>
      <t>3</t>
    </r>
    <r>
      <rPr>
        <b/>
        <u/>
        <sz val="14"/>
        <rFont val="Calibri"/>
        <family val="2"/>
        <scheme val="minor"/>
      </rPr>
      <t xml:space="preserve">  Kakuyuni Reservoir</t>
    </r>
  </si>
  <si>
    <t>Excavate trench for precast concrete invert block drain Type 'A' , including trimming of sides to receive courses and cart excavated material to tips.  Depth to invert n.e. 1.0m.</t>
  </si>
  <si>
    <r>
      <t>STORAGE RESERVOIR (5000m</t>
    </r>
    <r>
      <rPr>
        <b/>
        <u/>
        <vertAlign val="superscript"/>
        <sz val="12"/>
        <rFont val="Calibri"/>
        <family val="2"/>
        <scheme val="minor"/>
      </rPr>
      <t>3</t>
    </r>
    <r>
      <rPr>
        <b/>
        <u/>
        <sz val="12"/>
        <rFont val="Calibri"/>
        <family val="2"/>
        <scheme val="minor"/>
      </rPr>
      <t>)</t>
    </r>
  </si>
  <si>
    <r>
      <t>Cleansing and Sterilisation of the 5,000m</t>
    </r>
    <r>
      <rPr>
        <vertAlign val="superscript"/>
        <sz val="12"/>
        <rFont val="Calibri"/>
        <family val="2"/>
        <scheme val="minor"/>
      </rPr>
      <t xml:space="preserve">3 </t>
    </r>
    <r>
      <rPr>
        <sz val="12"/>
        <rFont val="Calibri"/>
        <family val="2"/>
        <scheme val="minor"/>
      </rPr>
      <t>Tank in accordance with specifications.  Rate to include for provision of water, all required chemicals and carrying out relevant tests as well as safe disposal of used water, all to Engineer's approval.</t>
    </r>
  </si>
  <si>
    <r>
      <t>m</t>
    </r>
    <r>
      <rPr>
        <vertAlign val="superscript"/>
        <sz val="12"/>
        <rFont val="Calibri"/>
        <family val="2"/>
        <scheme val="minor"/>
      </rPr>
      <t>2</t>
    </r>
  </si>
  <si>
    <r>
      <t>Steel fabric to BS 4483: A252 squaremesh, nominal mass 3-4kg/m</t>
    </r>
    <r>
      <rPr>
        <vertAlign val="superscript"/>
        <sz val="12"/>
        <rFont val="Calibri"/>
        <family val="2"/>
        <scheme val="minor"/>
      </rPr>
      <t>2.</t>
    </r>
  </si>
  <si>
    <r>
      <t>800mm dia. All flanged 45</t>
    </r>
    <r>
      <rPr>
        <vertAlign val="superscript"/>
        <sz val="12"/>
        <rFont val="Calibri"/>
        <family val="2"/>
        <scheme val="minor"/>
      </rPr>
      <t>o</t>
    </r>
    <r>
      <rPr>
        <sz val="12"/>
        <rFont val="Calibri"/>
        <family val="2"/>
        <scheme val="minor"/>
      </rPr>
      <t xml:space="preserve"> bend </t>
    </r>
  </si>
  <si>
    <r>
      <t>600mm dia. All flanged 90</t>
    </r>
    <r>
      <rPr>
        <vertAlign val="superscript"/>
        <sz val="12"/>
        <rFont val="Calibri"/>
        <family val="2"/>
        <scheme val="minor"/>
      </rPr>
      <t>o</t>
    </r>
    <r>
      <rPr>
        <sz val="12"/>
        <rFont val="Calibri"/>
        <family val="2"/>
        <scheme val="minor"/>
      </rPr>
      <t xml:space="preserve"> short radius bend </t>
    </r>
  </si>
  <si>
    <r>
      <t>600mm dia. All flanged 90</t>
    </r>
    <r>
      <rPr>
        <vertAlign val="superscript"/>
        <sz val="12"/>
        <rFont val="Calibri"/>
        <family val="2"/>
        <scheme val="minor"/>
      </rPr>
      <t>o</t>
    </r>
    <r>
      <rPr>
        <sz val="12"/>
        <rFont val="Calibri"/>
        <family val="2"/>
        <scheme val="minor"/>
      </rPr>
      <t xml:space="preserve"> bend </t>
    </r>
  </si>
  <si>
    <r>
      <t>500mm dia. all flanged 90</t>
    </r>
    <r>
      <rPr>
        <vertAlign val="superscript"/>
        <sz val="12"/>
        <rFont val="Calibri"/>
        <family val="2"/>
        <scheme val="minor"/>
      </rPr>
      <t>o</t>
    </r>
    <r>
      <rPr>
        <sz val="12"/>
        <rFont val="Calibri"/>
        <family val="2"/>
        <scheme val="minor"/>
      </rPr>
      <t xml:space="preserve"> bend</t>
    </r>
  </si>
  <si>
    <r>
      <t>250mm dia. Single flanged 90</t>
    </r>
    <r>
      <rPr>
        <vertAlign val="superscript"/>
        <sz val="12"/>
        <rFont val="Calibri"/>
        <family val="2"/>
        <scheme val="minor"/>
      </rPr>
      <t>o</t>
    </r>
    <r>
      <rPr>
        <sz val="12"/>
        <rFont val="Calibri"/>
        <family val="2"/>
        <scheme val="minor"/>
      </rPr>
      <t xml:space="preserve"> bend</t>
    </r>
  </si>
  <si>
    <r>
      <t>500mm dia. All flanged 45</t>
    </r>
    <r>
      <rPr>
        <vertAlign val="superscript"/>
        <sz val="12"/>
        <rFont val="Calibri"/>
        <family val="2"/>
        <scheme val="minor"/>
      </rPr>
      <t>o</t>
    </r>
    <r>
      <rPr>
        <sz val="12"/>
        <rFont val="Calibri"/>
        <family val="2"/>
        <scheme val="minor"/>
      </rPr>
      <t xml:space="preserve"> bend</t>
    </r>
  </si>
  <si>
    <r>
      <t>600mm dia. all flanged 90</t>
    </r>
    <r>
      <rPr>
        <vertAlign val="superscript"/>
        <sz val="12"/>
        <rFont val="Calibri"/>
        <family val="2"/>
        <scheme val="minor"/>
      </rPr>
      <t>o</t>
    </r>
    <r>
      <rPr>
        <sz val="12"/>
        <rFont val="Calibri"/>
        <family val="2"/>
        <scheme val="minor"/>
      </rPr>
      <t xml:space="preserve"> short radius bend </t>
    </r>
  </si>
  <si>
    <r>
      <t>600mm dia. All flanged 90</t>
    </r>
    <r>
      <rPr>
        <vertAlign val="superscript"/>
        <sz val="12"/>
        <rFont val="Calibri"/>
        <family val="2"/>
        <scheme val="minor"/>
      </rPr>
      <t>o</t>
    </r>
    <r>
      <rPr>
        <sz val="12"/>
        <rFont val="Calibri"/>
        <family val="2"/>
        <scheme val="minor"/>
      </rPr>
      <t xml:space="preserve"> bend</t>
    </r>
  </si>
  <si>
    <r>
      <t>500mm dia. all flanged 90</t>
    </r>
    <r>
      <rPr>
        <vertAlign val="superscript"/>
        <sz val="12"/>
        <rFont val="Calibri"/>
        <family val="2"/>
        <scheme val="minor"/>
      </rPr>
      <t>o</t>
    </r>
    <r>
      <rPr>
        <sz val="12"/>
        <rFont val="Calibri"/>
        <family val="2"/>
        <scheme val="minor"/>
      </rPr>
      <t xml:space="preserve"> bend </t>
    </r>
  </si>
  <si>
    <r>
      <t>250mm dia. Single flanged 90</t>
    </r>
    <r>
      <rPr>
        <vertAlign val="superscript"/>
        <sz val="12"/>
        <rFont val="Calibri"/>
        <family val="2"/>
        <scheme val="minor"/>
      </rPr>
      <t>o</t>
    </r>
    <r>
      <rPr>
        <sz val="12"/>
        <rFont val="Calibri"/>
        <family val="2"/>
        <scheme val="minor"/>
      </rPr>
      <t xml:space="preserve"> bend </t>
    </r>
  </si>
  <si>
    <r>
      <t>Supply and lay Medium Duty Paving Blocks, 60mm thick, Minimum strength 37-41N/mm</t>
    </r>
    <r>
      <rPr>
        <vertAlign val="superscript"/>
        <sz val="12"/>
        <rFont val="Calibri"/>
        <family val="2"/>
        <scheme val="minor"/>
      </rPr>
      <t>2</t>
    </r>
    <r>
      <rPr>
        <sz val="12"/>
        <rFont val="Calibri"/>
        <family val="2"/>
        <scheme val="minor"/>
      </rPr>
      <t xml:space="preserve"> laid on and including 50mm thick sand bed and compacted by surface vibration</t>
    </r>
  </si>
  <si>
    <r>
      <t xml:space="preserve">Provide all material, fabricate and install signboard for Storage Reservoir, dimensions 1150mm x 1200mm. Include for painting, decorating and anchoring of the signboard to the ground using 300mm x 300mm x 600mm deep mass concrete footing.  </t>
    </r>
    <r>
      <rPr>
        <b/>
        <u/>
        <sz val="12"/>
        <rFont val="Calibri"/>
        <family val="2"/>
        <scheme val="minor"/>
      </rPr>
      <t>Note</t>
    </r>
    <r>
      <rPr>
        <sz val="12"/>
        <rFont val="Calibri"/>
        <family val="2"/>
        <scheme val="minor"/>
      </rPr>
      <t>:  Final wording on signboard to be decided in consultation with the Employer.</t>
    </r>
  </si>
  <si>
    <t>Structural Concrete Class 25/20mm Maximum Aggregate as Described in:-</t>
  </si>
  <si>
    <t>Page 1 of 15</t>
  </si>
  <si>
    <t>Page 2 of 15</t>
  </si>
  <si>
    <t>Page 3 of 15</t>
  </si>
  <si>
    <t>Page 4 of 15</t>
  </si>
  <si>
    <t>Page 5 of 15</t>
  </si>
  <si>
    <t>Page 6 of 15</t>
  </si>
  <si>
    <t>Page 7 of 15</t>
  </si>
  <si>
    <t>Page 8 of 15</t>
  </si>
  <si>
    <t>Page 9 of 15</t>
  </si>
  <si>
    <t>Page 10 of 15</t>
  </si>
  <si>
    <t>Page 11 of 15</t>
  </si>
  <si>
    <t>Page 12 of 15</t>
  </si>
  <si>
    <t>Page 13 of 15</t>
  </si>
  <si>
    <t>Page 14 of 15</t>
  </si>
  <si>
    <t>Page 15 of 15</t>
  </si>
  <si>
    <t>Bill Total Carried to the Bill 3 of the Grand Summary</t>
  </si>
  <si>
    <t>Supply and install Instrumentation, Control System and Local SCADA system for operation and management for process monitoring and automation. The syetm to be have user interface and to be able to monitor water levels on the storage tanks at Kakuyuni.</t>
  </si>
  <si>
    <t>BILL 4 COLLECTION CARRIED TO GRAND SUMMARY</t>
  </si>
  <si>
    <t xml:space="preserve">BILL No. 5 - DAYWORKS </t>
  </si>
  <si>
    <t>BILL 5 TOTAL CARRIED TO GRAND SUMMARY</t>
  </si>
  <si>
    <t>Allow a provision for the Preparation of the As-Built Drawings by the time of commissioning of the Works in accordance with Clause 58.1 of GCC</t>
  </si>
  <si>
    <t>BILL No. 1 - PRELIMINARIES AND GENERAL ITEMS</t>
  </si>
  <si>
    <t xml:space="preserve">Allow provisional sum of kshs. 15,000,000 to be spent in construction of staff Houses Grade 9(Type D houses each) 2Nr Unit (with 2 Houses each.) Include for Building and Provision  of plumbing works,inspection chambers,sewer pipes,water supply and electrical installation,furniture and other facilities all to the approval of Engineer.                                                                                              </t>
  </si>
  <si>
    <t>Allow for monthly maintenance of office equipment (stationery, printers, cameras etc) for use by the Engineer's Staff</t>
  </si>
  <si>
    <t>1A227</t>
  </si>
  <si>
    <t>1A228</t>
  </si>
  <si>
    <t>Provision of Engineer's Representative's office consumables: tea, drinking water, toiletry etc during the Contract Period</t>
  </si>
  <si>
    <t>Provision for payment of services (Water, Security and Electricity) to the Resident Engineer's Office during the Contract Period</t>
  </si>
  <si>
    <r>
      <t>Allow Sum for  a set of Bladder Surge Tank with a capacity of 20 m</t>
    </r>
    <r>
      <rPr>
        <vertAlign val="superscript"/>
        <sz val="12"/>
        <rFont val="Calibri"/>
        <family val="2"/>
        <scheme val="minor"/>
      </rPr>
      <t>3</t>
    </r>
    <r>
      <rPr>
        <sz val="12"/>
        <rFont val="Calibri"/>
        <family val="2"/>
        <scheme val="minor"/>
      </rPr>
      <t>, Inlet pipe diameter of 500mm, height 5m and diameter 2m complete with their compressors and accompanying electrical works e.t.c as identified and directed by the Resident Engineer and approved by the Project Manager</t>
    </r>
  </si>
  <si>
    <t xml:space="preserve">Allow a Provisional sum of Kshs. 2,500,000 to cater for (monthly site meetings, site visits by government officials, project ground breaking/commission etc as directed by the project manager </t>
  </si>
  <si>
    <r>
      <t xml:space="preserve">PREAMBLE </t>
    </r>
    <r>
      <rPr>
        <sz val="16"/>
        <color theme="1"/>
        <rFont val="Calibri"/>
        <family val="2"/>
        <scheme val="minor"/>
      </rPr>
      <t> </t>
    </r>
  </si>
  <si>
    <r>
      <t>1.</t>
    </r>
    <r>
      <rPr>
        <sz val="7"/>
        <color theme="1"/>
        <rFont val="Calibri"/>
        <family val="2"/>
        <scheme val="minor"/>
      </rPr>
      <t xml:space="preserve">            </t>
    </r>
    <r>
      <rPr>
        <sz val="12"/>
        <color theme="1"/>
        <rFont val="Calibri"/>
        <family val="2"/>
        <scheme val="minor"/>
      </rPr>
      <t>These Bills of Quantities form part of the Contract Documents and are to be read in conjunction with the Conditions of Contract, Technical Specifications, and Drawings.</t>
    </r>
  </si>
  <si>
    <r>
      <t>2.</t>
    </r>
    <r>
      <rPr>
        <sz val="7"/>
        <color theme="1"/>
        <rFont val="Calibri"/>
        <family val="2"/>
        <scheme val="minor"/>
      </rPr>
      <t xml:space="preserve">            </t>
    </r>
    <r>
      <rPr>
        <sz val="12"/>
        <color theme="1"/>
        <rFont val="Calibri"/>
        <family val="2"/>
        <scheme val="minor"/>
      </rPr>
      <t>The quantities set forth in the Bills of Quantities represent the character of the work to be carried out with a reasonable factor of safety.  There is no guarantee to the Contractor that he will be required to carry out the quantities of work indicated under any one particular item or group of items in the Bills of Quantities, though on the Contract as a whole the quantities are intended to represent the overall value of the work to be carried out.</t>
    </r>
  </si>
  <si>
    <r>
      <t>3.</t>
    </r>
    <r>
      <rPr>
        <sz val="7"/>
        <color theme="1"/>
        <rFont val="Calibri"/>
        <family val="2"/>
        <scheme val="minor"/>
      </rPr>
      <t xml:space="preserve">            </t>
    </r>
    <r>
      <rPr>
        <sz val="12"/>
        <color theme="1"/>
        <rFont val="Calibri"/>
        <family val="2"/>
        <scheme val="minor"/>
      </rPr>
      <t>The prices and rates inserted in the Bills of Quantities will be used for valuing the work executed and the Engineer will measure the whole of the works executed in accordance with the Contract.</t>
    </r>
  </si>
  <si>
    <r>
      <t>4.</t>
    </r>
    <r>
      <rPr>
        <sz val="7"/>
        <color theme="1"/>
        <rFont val="Calibri"/>
        <family val="2"/>
        <scheme val="minor"/>
      </rPr>
      <t xml:space="preserve">            </t>
    </r>
    <r>
      <rPr>
        <sz val="12"/>
        <color theme="1"/>
        <rFont val="Calibri"/>
        <family val="2"/>
        <scheme val="minor"/>
      </rPr>
      <t>The prices and rates inserted in the Bills of Quantities are to be the full inclusive costs of the works described under the items, complete in place and in accordance with the Specifications and Drawings, including setting out of the works, and including costs and expenses which may be required in, and for the construction of, the works described, together with any temporary works and installations which may be necessary and all general risks, liabilities and obligations set forth or implied in the Documents on which the Contract is based.</t>
    </r>
  </si>
  <si>
    <r>
      <t>5.</t>
    </r>
    <r>
      <rPr>
        <sz val="7"/>
        <color theme="1"/>
        <rFont val="Calibri"/>
        <family val="2"/>
        <scheme val="minor"/>
      </rPr>
      <t xml:space="preserve">            </t>
    </r>
    <r>
      <rPr>
        <sz val="12"/>
        <color theme="1"/>
        <rFont val="Calibri"/>
        <family val="2"/>
        <scheme val="minor"/>
      </rPr>
      <t>The brief descriptions in the items given in the Bills of Quantities are purely for the purpose of identification and in no way modify or supersede the detailed descriptions given in the Conditions of Contract, Specifications or Drawings.  When pricing items, reference is to be made to the Conditions of Contract, Standard Specifications, Drawings and Special Specification for the full directions and description of work and materials.</t>
    </r>
  </si>
  <si>
    <r>
      <t>6.</t>
    </r>
    <r>
      <rPr>
        <sz val="7"/>
        <color theme="1"/>
        <rFont val="Calibri"/>
        <family val="2"/>
        <scheme val="minor"/>
      </rPr>
      <t xml:space="preserve">            </t>
    </r>
    <r>
      <rPr>
        <sz val="12"/>
        <color theme="1"/>
        <rFont val="Calibri"/>
        <family val="2"/>
        <scheme val="minor"/>
      </rPr>
      <t>A price or rate is to be inserted, in ink, against each item in the Bills of Quantities, whether quantities are stated or not, and if the Tenderer includes the cost of a particular item elsewhere in his rates or prices, he shall insert the word "nil" against both the rate and extension of that particular item.  Should the Tenderer omit to price an item, then it will be assumed that he has included the cost of the item elsewhere in his rates or prices.</t>
    </r>
  </si>
  <si>
    <r>
      <t>7.</t>
    </r>
    <r>
      <rPr>
        <sz val="7"/>
        <color theme="1"/>
        <rFont val="Calibri"/>
        <family val="2"/>
        <scheme val="minor"/>
      </rPr>
      <t xml:space="preserve">            </t>
    </r>
    <r>
      <rPr>
        <sz val="12"/>
        <color theme="1"/>
        <rFont val="Calibri"/>
        <family val="2"/>
        <scheme val="minor"/>
      </rPr>
      <t>No alterations shall be made to the Bills of Quantities and no extra items shall be inserted.  The Tenderer shall satisfy himself that the Contract Sum arrived at by pricing the quantities and items given is sufficient compensation for constructing and maintaining the whole of the works in accordance with the Contract Documents.</t>
    </r>
  </si>
  <si>
    <r>
      <t>8.</t>
    </r>
    <r>
      <rPr>
        <sz val="7"/>
        <color theme="1"/>
        <rFont val="Calibri"/>
        <family val="2"/>
        <scheme val="minor"/>
      </rPr>
      <t xml:space="preserve">            </t>
    </r>
    <r>
      <rPr>
        <sz val="12"/>
        <color theme="1"/>
        <rFont val="Calibri"/>
        <family val="2"/>
        <scheme val="minor"/>
      </rPr>
      <t>For the purpose of payment by Interim Certificate of "Lump Sum" or “sum” items the Engineer may assess the portion of the work completed on the "Lump Sum" or “sum” item and allow for payment of the portion the "Lump Sum" he deems fair and reasonable.  The total of all portions allowed shall not exceed the "Lump Sum".  All interim payments shall be subject to the retention stipulated in the Contract Documents.</t>
    </r>
  </si>
  <si>
    <r>
      <t>9.</t>
    </r>
    <r>
      <rPr>
        <sz val="7"/>
        <color theme="1"/>
        <rFont val="Calibri"/>
        <family val="2"/>
        <scheme val="minor"/>
      </rPr>
      <t xml:space="preserve">            </t>
    </r>
    <r>
      <rPr>
        <sz val="12"/>
        <color theme="1"/>
        <rFont val="Calibri"/>
        <family val="2"/>
        <scheme val="minor"/>
      </rPr>
      <t>During construction, the unit rate established for an item in one Bill of Quantities may be used as a basis for establishing a unit rate for similar work in another Bill of Quantities which contains no unit rate for the said item.  No additional cost will be considered for such an eventuality.</t>
    </r>
  </si>
  <si>
    <r>
      <t>10.</t>
    </r>
    <r>
      <rPr>
        <sz val="7"/>
        <color theme="1"/>
        <rFont val="Calibri"/>
        <family val="2"/>
        <scheme val="minor"/>
      </rPr>
      <t xml:space="preserve">         </t>
    </r>
    <r>
      <rPr>
        <sz val="12"/>
        <color theme="1"/>
        <rFont val="Calibri"/>
        <family val="2"/>
        <scheme val="minor"/>
      </rPr>
      <t>The Contractor will be provided, by the Employer, with all that land occupied by the Permanent Works including the specified working width for pipe laying, treatment works and other permanent construction works.  The costs of compensation and entry upon land (if any) for the specified working width will be paid by the Employer.  All other costs for temporary access to the works or additional working space shall be paid by the Contractor.</t>
    </r>
  </si>
  <si>
    <r>
      <t>11.</t>
    </r>
    <r>
      <rPr>
        <sz val="7"/>
        <color theme="1"/>
        <rFont val="Calibri"/>
        <family val="2"/>
        <scheme val="minor"/>
      </rPr>
      <t xml:space="preserve">         </t>
    </r>
    <r>
      <rPr>
        <sz val="12"/>
        <color theme="1"/>
        <rFont val="Calibri"/>
        <family val="2"/>
        <scheme val="minor"/>
      </rPr>
      <t>It shall be the responsibility of the Contractor to arrange for the removal of, or alteration to, existing services where necessitated by the Works.  Costs incurred will be borne by the Contractor.</t>
    </r>
  </si>
  <si>
    <r>
      <t>12.</t>
    </r>
    <r>
      <rPr>
        <sz val="7"/>
        <color theme="1"/>
        <rFont val="Calibri"/>
        <family val="2"/>
        <scheme val="minor"/>
      </rPr>
      <t xml:space="preserve">         </t>
    </r>
    <r>
      <rPr>
        <sz val="12"/>
        <color theme="1"/>
        <rFont val="Calibri"/>
        <family val="2"/>
        <scheme val="minor"/>
      </rPr>
      <t>Quantities for site clearance, stripping and spreading shall be based on the horizontal projection of the area cleared or stripped.</t>
    </r>
  </si>
  <si>
    <r>
      <t>13.</t>
    </r>
    <r>
      <rPr>
        <sz val="7"/>
        <color theme="1"/>
        <rFont val="Calibri"/>
        <family val="2"/>
        <scheme val="minor"/>
      </rPr>
      <t xml:space="preserve">         </t>
    </r>
    <r>
      <rPr>
        <sz val="12"/>
        <color theme="1"/>
        <rFont val="Calibri"/>
        <family val="2"/>
        <scheme val="minor"/>
      </rPr>
      <t>The rates for excavation items shall be deemed to include inter alia for setting aside spoil for reuse in the Works or disposing to approved tips, except where otherwise provided for in the Bills of Quantities.</t>
    </r>
  </si>
  <si>
    <r>
      <t>14.</t>
    </r>
    <r>
      <rPr>
        <sz val="7"/>
        <color theme="1"/>
        <rFont val="Calibri"/>
        <family val="2"/>
        <scheme val="minor"/>
      </rPr>
      <t xml:space="preserve">         </t>
    </r>
    <r>
      <rPr>
        <sz val="12"/>
        <color theme="1"/>
        <rFont val="Calibri"/>
        <family val="2"/>
        <scheme val="minor"/>
      </rPr>
      <t>Generally, excavation items are based on volumes for structures and on linear measurements for certain pipelines.  The work may be covered by one or more items.  The rates shall include as appropriate for:-</t>
    </r>
  </si>
  <si>
    <t>a) Breaking through surfaces, handling different classes of material separately; excavation beyond the net plan area of the foundations for working space and for battering or timbering etc.</t>
  </si>
  <si>
    <t>b)Timbering</t>
  </si>
  <si>
    <t>c)Dealing with water from any source whatsoever</t>
  </si>
  <si>
    <t>d)Backfilling as specified</t>
  </si>
  <si>
    <t>e)Disposal of surplus spoil</t>
  </si>
  <si>
    <r>
      <t xml:space="preserve">Measurement of volume of excavation for structures shall be calculated from the plan dimensions of the structure </t>
    </r>
    <r>
      <rPr>
        <b/>
        <sz val="12"/>
        <color theme="1"/>
        <rFont val="Calibri"/>
        <family val="2"/>
        <scheme val="minor"/>
      </rPr>
      <t>without allowance for working space</t>
    </r>
    <r>
      <rPr>
        <sz val="12"/>
        <color theme="1"/>
        <rFont val="Calibri"/>
        <family val="2"/>
        <scheme val="minor"/>
      </rPr>
      <t>.</t>
    </r>
  </si>
  <si>
    <t>The depth of excavation in pipe trenches will be measured from ground level to the invert of the pipes.  Measurement for other excavations will be to the size which is required to accommodate the permanent works.  A Tenderer shall accordingly allow in his prices for any amount of extra excavation, which may be necessary for working space to complete the work to the satisfaction of the Engineer.</t>
  </si>
  <si>
    <t>Items are included for "Extra Over for Rock" on a volume basis.  The rates shall include for breaking out and any other additional costs and the items shall apply to work encountered within measured excavation.  Rock shall be measured as a volume calculated from the thickness encountered within the plan area of a mass excavation, within the plan dimensions of a structure, or within the nominal width of a trench. The decision of the Engineer on the classification of rock encountered in excavation shall be final and binding.</t>
  </si>
  <si>
    <t>Timbering left in excavations shall only be measured for payment where it is specified or ordered by the Engineer.</t>
  </si>
  <si>
    <r>
      <t>15.</t>
    </r>
    <r>
      <rPr>
        <sz val="7"/>
        <color theme="1"/>
        <rFont val="Calibri"/>
        <family val="2"/>
        <scheme val="minor"/>
      </rPr>
      <t xml:space="preserve">         </t>
    </r>
    <r>
      <rPr>
        <sz val="12"/>
        <color theme="1"/>
        <rFont val="Calibri"/>
        <family val="2"/>
        <scheme val="minor"/>
      </rPr>
      <t>When the site of any particular item of the Works has been sufficiently cleared of trees, undergrowth etc. and before any excavation or filling has been carried out, the Contractor shall carry out a survey under the supervision of the Engineer's Representative to take, record and agree upon an adequate number of original ground levels.  The data so obtained shall be used as a basis for the computation of excavation and filling.</t>
    </r>
  </si>
  <si>
    <r>
      <t>16.</t>
    </r>
    <r>
      <rPr>
        <sz val="7"/>
        <color theme="1"/>
        <rFont val="Calibri"/>
        <family val="2"/>
        <scheme val="minor"/>
      </rPr>
      <t xml:space="preserve">         </t>
    </r>
    <r>
      <rPr>
        <sz val="12"/>
        <color theme="1"/>
        <rFont val="Calibri"/>
        <family val="2"/>
        <scheme val="minor"/>
      </rPr>
      <t>The volume of fill will be measured net to the finished levels as shown on the drawings or as amended by the Engineer.</t>
    </r>
  </si>
  <si>
    <r>
      <t>17.</t>
    </r>
    <r>
      <rPr>
        <sz val="7"/>
        <color theme="1"/>
        <rFont val="Calibri"/>
        <family val="2"/>
        <scheme val="minor"/>
      </rPr>
      <t xml:space="preserve">         </t>
    </r>
    <r>
      <rPr>
        <sz val="12"/>
        <color theme="1"/>
        <rFont val="Calibri"/>
        <family val="2"/>
        <scheme val="minor"/>
      </rPr>
      <t>The rates for concrete shall include for making and testing concrete cubes and forwarding the results to the Engineer. Testing is to be carried out by a Test Laboratory approved by the Engineer.</t>
    </r>
  </si>
  <si>
    <r>
      <t>18.</t>
    </r>
    <r>
      <rPr>
        <sz val="7"/>
        <color theme="1"/>
        <rFont val="Calibri"/>
        <family val="2"/>
        <scheme val="minor"/>
      </rPr>
      <t xml:space="preserve">         </t>
    </r>
    <r>
      <rPr>
        <sz val="12"/>
        <color theme="1"/>
        <rFont val="Calibri"/>
        <family val="2"/>
        <scheme val="minor"/>
      </rPr>
      <t>The rates for precast concrete paving shall include for all cutting, bedding, jointing and laying to falls.</t>
    </r>
  </si>
  <si>
    <r>
      <t>19.</t>
    </r>
    <r>
      <rPr>
        <sz val="7"/>
        <color theme="1"/>
        <rFont val="Calibri"/>
        <family val="2"/>
        <scheme val="minor"/>
      </rPr>
      <t xml:space="preserve">         </t>
    </r>
    <r>
      <rPr>
        <sz val="12"/>
        <color theme="1"/>
        <rFont val="Calibri"/>
        <family val="2"/>
        <scheme val="minor"/>
      </rPr>
      <t>The rates for precast concrete edging and kerbs shall include for formwork, concrete bed and backing, all cutting, bedding, jointing and laying to falls.</t>
    </r>
  </si>
  <si>
    <r>
      <t>20.</t>
    </r>
    <r>
      <rPr>
        <sz val="7"/>
        <color theme="1"/>
        <rFont val="Calibri"/>
        <family val="2"/>
        <scheme val="minor"/>
      </rPr>
      <t xml:space="preserve">         </t>
    </r>
    <r>
      <rPr>
        <sz val="12"/>
        <color theme="1"/>
        <rFont val="Calibri"/>
        <family val="2"/>
        <scheme val="minor"/>
      </rPr>
      <t>All formwork must be cleaned and oiled prior to use. All exposed concrete edges shall have a 20 mm chamfer unless otherwise directed. The formwork rates shall also be inclusive of all necessary box outs and cut outs for individual holes up to 1 square metre.</t>
    </r>
  </si>
  <si>
    <t>The rates for forming rebates in concrete walls etc. shall include for forming pockets for the fish tail fixing cleats where required.</t>
  </si>
  <si>
    <t>Deductions from formwork quantities will be made for openings more than 1 square metre in area.</t>
  </si>
  <si>
    <r>
      <t>21.</t>
    </r>
    <r>
      <rPr>
        <sz val="7"/>
        <color theme="1"/>
        <rFont val="Calibri"/>
        <family val="2"/>
        <scheme val="minor"/>
      </rPr>
      <t xml:space="preserve">         </t>
    </r>
    <r>
      <rPr>
        <sz val="12"/>
        <color theme="1"/>
        <rFont val="Calibri"/>
        <family val="2"/>
        <scheme val="minor"/>
      </rPr>
      <t>Formwork for upper surfaces inclined at 30 degrees or less to the horizontal is not measured and the cost of any such formwork used will be deemed to be included in the relevant concrete item rate.</t>
    </r>
  </si>
  <si>
    <r>
      <t>22.</t>
    </r>
    <r>
      <rPr>
        <sz val="7"/>
        <color theme="1"/>
        <rFont val="Calibri"/>
        <family val="2"/>
        <scheme val="minor"/>
      </rPr>
      <t xml:space="preserve">         </t>
    </r>
    <r>
      <rPr>
        <sz val="12"/>
        <color theme="1"/>
        <rFont val="Calibri"/>
        <family val="2"/>
        <scheme val="minor"/>
      </rPr>
      <t>Wrought formwork where specified will be measured to 150mm below final ground levels.</t>
    </r>
  </si>
  <si>
    <r>
      <t>23.</t>
    </r>
    <r>
      <rPr>
        <sz val="7"/>
        <color theme="1"/>
        <rFont val="Calibri"/>
        <family val="2"/>
        <scheme val="minor"/>
      </rPr>
      <t xml:space="preserve">         </t>
    </r>
    <r>
      <rPr>
        <sz val="12"/>
        <color theme="1"/>
        <rFont val="Calibri"/>
        <family val="2"/>
        <scheme val="minor"/>
      </rPr>
      <t>Items required for Structural Joints and Construction Joints shown on drawings shall be paid for as per the rates in the Bills of Quantities; the rate for providing and fixing PVC water bar being inclusive of all joints, overlaps, junctions, welding, formwork not shown on drawings shall be deemed to be included in the unit rates for concrete work.</t>
    </r>
  </si>
  <si>
    <r>
      <t>24.</t>
    </r>
    <r>
      <rPr>
        <sz val="7"/>
        <color theme="1"/>
        <rFont val="Calibri"/>
        <family val="2"/>
        <scheme val="minor"/>
      </rPr>
      <t xml:space="preserve">         </t>
    </r>
    <r>
      <rPr>
        <sz val="12"/>
        <color theme="1"/>
        <rFont val="Calibri"/>
        <family val="2"/>
        <scheme val="minor"/>
      </rPr>
      <t>All rates and sums in the Bills of Quantities shall be in Kenya Shillings and Cents.</t>
    </r>
  </si>
  <si>
    <r>
      <t>25.</t>
    </r>
    <r>
      <rPr>
        <sz val="7"/>
        <color theme="1"/>
        <rFont val="Calibri"/>
        <family val="2"/>
        <scheme val="minor"/>
      </rPr>
      <t xml:space="preserve">         </t>
    </r>
    <r>
      <rPr>
        <sz val="12"/>
        <color theme="1"/>
        <rFont val="Calibri"/>
        <family val="2"/>
        <scheme val="minor"/>
      </rPr>
      <t>A construction wayleave of up to 2 m for pipeline will generally be allowed.</t>
    </r>
  </si>
  <si>
    <t xml:space="preserve">Payment for site clearance is based upon this width except that the Engineer reserves the right to restrict this width due to the presence of obstructions, roads, houses and the like.  Payment shall then be according to the actual area cleared.  In case additional space is required this may be made available by the Contractor at his own cost. </t>
  </si>
  <si>
    <t>No claim for additional space will be entertained by the Engineer.  No claims for inconvenience and the like caused by obstruction will be entertained.  The rates shall be deemed to include for reinstatement of fences, gates, etc.</t>
  </si>
  <si>
    <r>
      <t>26.</t>
    </r>
    <r>
      <rPr>
        <sz val="7"/>
        <color theme="1"/>
        <rFont val="Calibri"/>
        <family val="2"/>
        <scheme val="minor"/>
      </rPr>
      <t xml:space="preserve">         </t>
    </r>
    <r>
      <rPr>
        <sz val="12"/>
        <color theme="1"/>
        <rFont val="Calibri"/>
        <family val="2"/>
        <scheme val="minor"/>
      </rPr>
      <t>All pipe diameters indicated in the Bills of Quantities and on Drawings are nominal for steel pipes and outside diameters for HDPE.  Fittings dimensions to suit size/type of pipes supplied by the Tenderer and Tenderer’s rates are deemed to allow for this.  No additional cost adjustment will be allowed.</t>
    </r>
  </si>
  <si>
    <r>
      <t>27.</t>
    </r>
    <r>
      <rPr>
        <sz val="7"/>
        <color theme="1"/>
        <rFont val="Calibri"/>
        <family val="2"/>
        <scheme val="minor"/>
      </rPr>
      <t xml:space="preserve">         </t>
    </r>
    <r>
      <rPr>
        <sz val="12"/>
        <color theme="1"/>
        <rFont val="Calibri"/>
        <family val="2"/>
        <scheme val="minor"/>
      </rPr>
      <t>Unless otherwise specified the method of measurement shall be in accordance with the Standard Method of Measurement of Civil Engineering Quantities (CESMM3) published by the Institution of Civil Engineers, London, Third Edition - 1991.  In some cases variations to this method have been made to suit local practice.  A Contractor shall be deemed to have priced the items accordingly and no claims relating to variation from the method of measurement stated in these documents shall be considered.</t>
    </r>
  </si>
  <si>
    <t>27.a Items for buildings, electrical and mechanical works are not described using CESMM3 for clarity purposes.</t>
  </si>
  <si>
    <r>
      <t>28.</t>
    </r>
    <r>
      <rPr>
        <sz val="7"/>
        <color theme="1"/>
        <rFont val="Calibri"/>
        <family val="2"/>
        <scheme val="minor"/>
      </rPr>
      <t xml:space="preserve">         </t>
    </r>
    <r>
      <rPr>
        <sz val="12"/>
        <color theme="1"/>
        <rFont val="Calibri"/>
        <family val="2"/>
        <scheme val="minor"/>
      </rPr>
      <t>All quantities have been measured in Metric Units.</t>
    </r>
  </si>
  <si>
    <r>
      <t>29.</t>
    </r>
    <r>
      <rPr>
        <sz val="7"/>
        <color theme="1"/>
        <rFont val="Calibri"/>
        <family val="2"/>
        <scheme val="minor"/>
      </rPr>
      <t xml:space="preserve">         </t>
    </r>
    <r>
      <rPr>
        <sz val="12"/>
        <color theme="1"/>
        <rFont val="Calibri"/>
        <family val="2"/>
        <scheme val="minor"/>
      </rPr>
      <t>Explanation of abbreviations used in the Bills of Quantities is as follows:-</t>
    </r>
  </si>
  <si>
    <t>L.S-Lump Sum</t>
  </si>
  <si>
    <t>PS- Provisional Sum</t>
  </si>
  <si>
    <t>P.C.-Prime Cost</t>
  </si>
  <si>
    <t>E.O.-Extra Over</t>
  </si>
  <si>
    <t>Avg.-Average</t>
  </si>
  <si>
    <t>Max.-Maximum</t>
  </si>
  <si>
    <t>Min- Minimum</t>
  </si>
  <si>
    <t>n.e.- Not Exceeding</t>
  </si>
  <si>
    <t>nr- No.Number</t>
  </si>
  <si>
    <t>mm- Millimetre</t>
  </si>
  <si>
    <t>m-Linear Metre</t>
  </si>
  <si>
    <t>m2 -Square Metre</t>
  </si>
  <si>
    <t>m3- Cubic Metre</t>
  </si>
  <si>
    <t>Ha.-Hectare</t>
  </si>
  <si>
    <t>Drg.-Drawing</t>
  </si>
  <si>
    <t>Kg.- Kilogramme</t>
  </si>
  <si>
    <t>H.T.- High Tensile</t>
  </si>
  <si>
    <t>M.S.-Mild Steel</t>
  </si>
  <si>
    <t>B.L.- Bitumen Lined</t>
  </si>
  <si>
    <t>Dia.-Diameter</t>
  </si>
  <si>
    <t>E.C./EC- Epoxy Coated</t>
  </si>
  <si>
    <t>E.L./EL- Epoxy Lined</t>
  </si>
  <si>
    <t>S &amp; S- Spigot &amp; Socket</t>
  </si>
  <si>
    <t>C.L.Cement-mortar Lined</t>
  </si>
  <si>
    <t>C.I.-Cast Iron</t>
  </si>
  <si>
    <t>D.I.-Ductile Iron</t>
  </si>
  <si>
    <t>uPVC-Unplasticised Polyvinyl Chloride</t>
  </si>
  <si>
    <t>HDPE-High Density Polyethylene</t>
  </si>
  <si>
    <t>G.I.-Galvanised Iron</t>
  </si>
  <si>
    <t>G.M.S.-Galvanised Mild Steel</t>
  </si>
  <si>
    <t>P.E.H-.Palothene</t>
  </si>
  <si>
    <t>PE-Polyethylene</t>
  </si>
  <si>
    <t>Hr.-Hour</t>
  </si>
  <si>
    <t>FE/-FeFerrous</t>
  </si>
  <si>
    <t>OD-Outside Diameter</t>
  </si>
  <si>
    <r>
      <t>30.</t>
    </r>
    <r>
      <rPr>
        <sz val="7"/>
        <color theme="1"/>
        <rFont val="Calibri"/>
        <family val="2"/>
        <scheme val="minor"/>
      </rPr>
      <t xml:space="preserve">         </t>
    </r>
    <r>
      <rPr>
        <sz val="12"/>
        <color theme="1"/>
        <rFont val="Calibri"/>
        <family val="2"/>
        <scheme val="minor"/>
      </rPr>
      <t>The rates for metalwork shall include for bolts, nuts, washers and ragbolts, fixing as specified or in accordance with the manufacturer's instructions and rectifying as specified any parts of the painted, coated or galvanised surface that may be damaged either before or after erection.</t>
    </r>
  </si>
  <si>
    <r>
      <t>31.</t>
    </r>
    <r>
      <rPr>
        <sz val="7"/>
        <color theme="1"/>
        <rFont val="Calibri"/>
        <family val="2"/>
        <scheme val="minor"/>
      </rPr>
      <t xml:space="preserve">         </t>
    </r>
    <r>
      <rPr>
        <sz val="12"/>
        <color theme="1"/>
        <rFont val="Calibri"/>
        <family val="2"/>
        <scheme val="minor"/>
      </rPr>
      <t>The rates for fixing penstocks and flap valves etc. shall include for bedding and grouting, testing for watertightness, greasing all working parts and leaving in good working order; where the item includes supply, the rates shall also include for supplying drawings for approval before manufacture is commenced.</t>
    </r>
  </si>
  <si>
    <r>
      <t>32.</t>
    </r>
    <r>
      <rPr>
        <sz val="7"/>
        <color theme="1"/>
        <rFont val="Calibri"/>
        <family val="2"/>
        <scheme val="minor"/>
      </rPr>
      <t xml:space="preserve">         </t>
    </r>
    <r>
      <rPr>
        <u/>
        <sz val="12"/>
        <color theme="1"/>
        <rFont val="Calibri"/>
        <family val="2"/>
        <scheme val="minor"/>
      </rPr>
      <t>Concrete Works</t>
    </r>
  </si>
  <si>
    <t>:</t>
  </si>
  <si>
    <t>Concrete shall be measured by the cubic metre of each class calculated from the dimensions given on the drawings or as instructed by the Engineer.  No deduction shall be made in the measurement for:</t>
  </si>
  <si>
    <t xml:space="preserve">i)bolt holes, pockets, box outs and cast-in components provided that the volume </t>
  </si>
  <si>
    <t>of each is less than 0.15 cubic metres;</t>
  </si>
  <si>
    <t>ii)Mortar beds, fillets, drip moulds, rebates, recesses, grooves, chamfers and thelike of 100mm total width of less;</t>
  </si>
  <si>
    <t>like of 100mm total width of less;</t>
  </si>
  <si>
    <t>iii)reinforcement.</t>
  </si>
  <si>
    <t>The rates for concrete shall include for the cost of:</t>
  </si>
  <si>
    <t>i)provision and transport of all materials including cement, aggregate water, etc</t>
  </si>
  <si>
    <t>ii)admixtures and workability agents including submission of details unless specified</t>
  </si>
  <si>
    <t>iii)batching, mixing, transporting, placing, compacting and curing;</t>
  </si>
  <si>
    <t>iv)class UF1 finish;</t>
  </si>
  <si>
    <t>v)laying to sloping surfaces not exceeding 15 degrees from the horizontal and laying to falls</t>
  </si>
  <si>
    <t>vi)formwork to blinding concrete;</t>
  </si>
  <si>
    <t>vii) placing and compacting against excavated surfaces where required including any additional concrete to fill overbreak or working space;</t>
  </si>
  <si>
    <t>viii)complying with the requirements of Clauses 723, 401-415 inclusive and Clause 418 of the Specification</t>
  </si>
  <si>
    <t>b) Item            :          Blinding Concrete</t>
  </si>
  <si>
    <t>Unit                :           m3</t>
  </si>
  <si>
    <t xml:space="preserve"> Blinding concrete shall be measured by the cubic metre calculated as the product of the plan area of the foundation as shown on the drawings and the instructed thickness.  No deduction shall be made for openings provided that the area of each is less than 0.5 square metres.  Blinding concrete over hard material shall be measured as the volume used provided that the maximum thickness of 150mm allowed for overbreak is not exceeded.</t>
  </si>
  <si>
    <t>The rate for blinding concrete shall include for all costs itemised in Note 32 a) of this Preamble.</t>
  </si>
  <si>
    <t>No fines concrete shall be measured by the cubic metre calculated from the dimensions given on the drawings or as instructed by the Engineer.</t>
  </si>
  <si>
    <t>The rate for no fines concrete shall include for all costs stated in Note 32 a) of this Preamble.</t>
  </si>
  <si>
    <t xml:space="preserve">d)Item:    Uniformed Surface Finish                                                                                                                                 </t>
  </si>
  <si>
    <t>Unit :   m2 of each class of finish</t>
  </si>
  <si>
    <t>Unformed surface finishes shall be measured by the square metre from the dimensions given on the drawings or as instructed by the Engineer.</t>
  </si>
  <si>
    <t>The rate for concrete in Notes 32 a), b) and c) shall include for class UF1 finish.</t>
  </si>
  <si>
    <t>The rate for unformed surface finishes shall include for the cost of complying with Clause 410 of the Specification.</t>
  </si>
  <si>
    <t>e) Item :       Formwork for Formed Surface Finishes</t>
  </si>
  <si>
    <t>Unit:              m2 of formwork for each class of finish for each range of inclinations</t>
  </si>
  <si>
    <t>Except as stated below, formwork shall be measured by the square metre of formwork actually in contact with the finished face of the concrete.  No deduction shall be made in the measurement for openings, pipes, ducts and the like, provided that the area of each is less than 0.50 square metres.  Unless otherwise stated, if the volume or area of concrete has not been deducted when measuring the concrete in accordance with Notes 32 a), b) and c), formwork to form or box out the void shall not be measured.</t>
  </si>
  <si>
    <t>Formwork less than 300mm high to edges of slabs shall be measured by the linear metre in accordance with Note 32 f) of this Preamble.</t>
  </si>
  <si>
    <t>Inclined formwork shall be measured in accordance with the following classifications:</t>
  </si>
  <si>
    <t>i) Horizontal: 85 to 90 degrees inclination from vertical</t>
  </si>
  <si>
    <t xml:space="preserve"> ii) Sloping:  10 to 85 degrees inclination from vertical</t>
  </si>
  <si>
    <t xml:space="preserve"> iii) Battered:  0 to 10 degrees inclination from vertical</t>
  </si>
  <si>
    <t>iv) Vertical:  0 degrees</t>
  </si>
  <si>
    <t>Sloping upper surfaces inclined at more than 15 degrees from the horizontal</t>
  </si>
  <si>
    <t>Formwork required for blinding concrete, to form construction joints and shear keys for future concrete and other construction surfaces shall not be measured and the costs shall be included in the rates for other work.</t>
  </si>
  <si>
    <t>Formwork to contraction and expansion joints shall be measured by the square metre on one face only.  The rates shall include for the costs stated below and for forming recesses for sealant and channels for grout.</t>
  </si>
  <si>
    <t>The rates for formwork shall include for the cost of submission of details, providing and transporting all materials for formwork and falsework, erection including provision of supports, fillets and chamfers 75mm and less in width, bolts, ties, fixings, cutting to waste, drilling or notching the formwork for reinforcement where required, working around pipes, ducts, conduits and waterstops, temporary openings, cleaning, dressing, stripping, filling bolt holes and any remedial work and for complying with Clauses 405, 407, 414, 415, 416, 418 and 501 t0 506 inclusive of the Specification.</t>
  </si>
  <si>
    <t>f)Item   :Formwork to Edges of Slabs</t>
  </si>
  <si>
    <t>Unit: m of each class of finish</t>
  </si>
  <si>
    <t>The rate for waterstops shall include for the provision, installation, jointing, any sealants required at the face of the concrete and for placing and compacting concrete around the waterstop.</t>
  </si>
  <si>
    <t>Mortar used for bedding base plates and the like shall be measured by square metre as the area of the base plate at the specified nominal thickness of bedding.</t>
  </si>
  <si>
    <t>Mortar used in filling bolts pockets and the like shall not be measured separately and the costs shall be included in the rates for the bolts.</t>
  </si>
  <si>
    <t>The rates for mortar shall include for the cost of providing and placing the mortar and of complying with the requirements of Clauses 411 and 417 of the Specification.</t>
  </si>
  <si>
    <t>Where required by the Special Specification admixtures, workability and hardening agents shall be measured and paid for in accordance with the Special Specification.</t>
  </si>
  <si>
    <t>Reinforcement shall be measured separately for each of the following ranges:</t>
  </si>
  <si>
    <t>i)of diameter equal to or less than 16mm</t>
  </si>
  <si>
    <t>ii)of diameter greater than 16mm</t>
  </si>
  <si>
    <t>Steel fabric reinforcement shall be measured in accordance with Note 32 k) of this Preamble.</t>
  </si>
  <si>
    <t>Steel (plain and deformed bars) reinforcement shall be measured by the tonne and shall be the calculated weight of the steel required including splice lengths shown on the drawings.  No allowance shall be made in the measurement for rolling margins or cutting waste.  The density of steel shall be taken as 7850 kilogrammes per cubic metre.</t>
  </si>
  <si>
    <t>The rates for reinforcement shall include for cost of providing, cutting to length, splice lengths additional to those shown on the drawings, laps, bending, hooking, waste incurred by cutting, cleaning, spacer blocks, provision and fixing of chairs or other types of supports, welding, fixing the reinforcement in position including the provision of wire or other material for supporting and tying the reinforcement in place, being reinforcement aside temporarily and straightening, placing and compacting concrete around reinforcement and for complying with the requirements of Clauses 419 to 420 inclusive of the Specification</t>
  </si>
  <si>
    <t>Steel fabric reinforcement shall be measured by the square metre and shall be the calculated area excluding any allowance for laps.</t>
  </si>
  <si>
    <t>The rate for steel fabric reinforcement shall include for the costs stated in Note 32 j) of this Preamble.</t>
  </si>
  <si>
    <t>Sewers, Drains and Pipelines</t>
  </si>
  <si>
    <r>
      <t>33.</t>
    </r>
    <r>
      <rPr>
        <sz val="7"/>
        <color theme="1"/>
        <rFont val="Calibri"/>
        <family val="2"/>
        <scheme val="minor"/>
      </rPr>
      <t xml:space="preserve">         </t>
    </r>
    <r>
      <rPr>
        <sz val="12"/>
        <color theme="1"/>
        <rFont val="Calibri"/>
        <family val="2"/>
        <scheme val="minor"/>
      </rPr>
      <t>The rates for pipes, pipework and specials shall include for supply of all materials, excavating, laying jointing and backfilling pipes in ordinary soil material.  The rates shall also include for all cutting of pipes consequent upon structures, specials and fittings being constructed in the designated positions.</t>
    </r>
  </si>
  <si>
    <r>
      <t>34.</t>
    </r>
    <r>
      <rPr>
        <sz val="7"/>
        <color theme="1"/>
        <rFont val="Calibri"/>
        <family val="2"/>
        <scheme val="minor"/>
      </rPr>
      <t xml:space="preserve">         </t>
    </r>
    <r>
      <rPr>
        <sz val="12"/>
        <color theme="1"/>
        <rFont val="Calibri"/>
        <family val="2"/>
        <scheme val="minor"/>
      </rPr>
      <t>The rates for concrete surround, bed and haunching to pipes, concrete in anchor blocks to pipes, and to gully pots shall include for all formwork required and for any additional concrete the Contractor may place for his own convenience or by reason of the method of carrying out the work.</t>
    </r>
  </si>
  <si>
    <r>
      <t>35.</t>
    </r>
    <r>
      <rPr>
        <sz val="7"/>
        <color theme="1"/>
        <rFont val="Calibri"/>
        <family val="2"/>
        <scheme val="minor"/>
      </rPr>
      <t xml:space="preserve">         </t>
    </r>
    <r>
      <rPr>
        <u/>
        <sz val="12"/>
        <color theme="1"/>
        <rFont val="Calibri"/>
        <family val="2"/>
        <scheme val="minor"/>
      </rPr>
      <t>Pipes, Fittings and Valves</t>
    </r>
  </si>
  <si>
    <r>
      <t>a)</t>
    </r>
    <r>
      <rPr>
        <sz val="7"/>
        <color theme="1"/>
        <rFont val="Calibri"/>
        <family val="2"/>
        <scheme val="minor"/>
      </rPr>
      <t xml:space="preserve">       </t>
    </r>
    <r>
      <rPr>
        <sz val="12"/>
        <color theme="1"/>
        <rFont val="Calibri"/>
        <family val="2"/>
        <scheme val="minor"/>
      </rPr>
      <t xml:space="preserve">uPVC pipes and fittings to SRN 300 Class ‘D’ (12 bar), or as specified </t>
    </r>
  </si>
  <si>
    <t>HDPE pipes and fittings to BS 6572 Standards Class ‘E’ (16 bar), or as specified</t>
  </si>
  <si>
    <t>b)Steel pipes and fittings to SRN 210, SRN 212 and SRN 216</t>
  </si>
  <si>
    <t>c)Ductile Iron (DI) pipes and fittings to SRN 202</t>
  </si>
  <si>
    <t>d)Galvanised Iron (GI) pipes and fittings to SRN 203</t>
  </si>
  <si>
    <t>e)Flexible joint spigot and socket precast concrete (PVC) pipes to SRN 409</t>
  </si>
  <si>
    <t>Rigid joint spigot and socket pcc pipes to SRN 409</t>
  </si>
  <si>
    <t>Ogee joint pcc pipes to SRN 407</t>
  </si>
  <si>
    <t>f)All flanges to SRN 207, NP 16 or as specified</t>
  </si>
  <si>
    <t>g)Gate valves to SRN 501, NP 16 or as specified</t>
  </si>
  <si>
    <t>h)Double orifice air valves as specified</t>
  </si>
  <si>
    <t>Single large orifice air valves as specified</t>
  </si>
  <si>
    <t>Single small orifice air valves as specified</t>
  </si>
  <si>
    <t>i)Fire hydrants to SRN 509</t>
  </si>
  <si>
    <t>j)Butterfly valves to SRN 506, NP 16 as specified</t>
  </si>
  <si>
    <t>k)Ball float valves as specified</t>
  </si>
  <si>
    <t>l)All pipe, fittings and valve diameters indicated are nominal diameters.  For relevant outside diameters see following pages</t>
  </si>
  <si>
    <t>m)Supply of pipes and fittings to include for cost of supply of all jointing materials like bolts, nuts, washers, gaskets, packings, jointing glue, etc.</t>
  </si>
  <si>
    <t>n)uPVC pipes to be supplied complete with compression joints</t>
  </si>
  <si>
    <t xml:space="preserve">o)Supply of C/L steel pipes to be with flange or push-in joints.  If plain ended pipes are offered, one number coupling per length is to be included.  Coupling is subject to approval by the Engineer </t>
  </si>
  <si>
    <t>p)Ductile Iron pipes to be supplied with push-in type joints</t>
  </si>
  <si>
    <t>q)Galvanised Iron pipes to be with threaded coupling joints, or as specified</t>
  </si>
  <si>
    <t>r)Precast concrete ogee pipes to be supplied complete with all jointing materials</t>
  </si>
  <si>
    <t>uPVC PIPES TO SRN 300</t>
  </si>
  <si>
    <t>OUTSIDE PIPE DIAMETER                                    NOMINAL INTERNAL</t>
  </si>
  <si>
    <t>AS PER SRN 300 (mm)                                           DIAMETER (mm)</t>
  </si>
  <si>
    <t>P   63                                                                          50</t>
  </si>
  <si>
    <t>P   75                                                                          65</t>
  </si>
  <si>
    <t>P   90                                                                          80</t>
  </si>
  <si>
    <t>P 110                                                                          100</t>
  </si>
  <si>
    <t>140                                                                             125</t>
  </si>
  <si>
    <t>P 160                                                                          150</t>
  </si>
  <si>
    <t>P 225                                                                          200</t>
  </si>
  <si>
    <t>P 280                                                                          250</t>
  </si>
  <si>
    <t>P 315                                                                          300</t>
  </si>
  <si>
    <t>355                                                                              350</t>
  </si>
  <si>
    <t>P  =  Preferred sizes as per MWI Water Design Manual</t>
  </si>
  <si>
    <t>CEMENT-MORTAR LINED STEEL PIPES TO SRN 212</t>
  </si>
  <si>
    <t>OUTSIDE PIPE DIAMETER                                      NOMINAL INTERNAL</t>
  </si>
  <si>
    <t>AS PER SRN 300 (mm)                                             DIAMETER (mm)</t>
  </si>
  <si>
    <t>60.3                                                                            50</t>
  </si>
  <si>
    <t>76.1                                                                            65</t>
  </si>
  <si>
    <t>88.9                                                                            80</t>
  </si>
  <si>
    <t>114.3                                                                         100</t>
  </si>
  <si>
    <t>139.7                                                                         125</t>
  </si>
  <si>
    <t>168.3                                                                         150</t>
  </si>
  <si>
    <t>193.7                                                                         175</t>
  </si>
  <si>
    <t>219.1                                                                         200</t>
  </si>
  <si>
    <t>244.5                                                                         225</t>
  </si>
  <si>
    <t>273                                                                             250</t>
  </si>
  <si>
    <t>323.9                                                                         300</t>
  </si>
  <si>
    <t>355.6                                                                         350</t>
  </si>
  <si>
    <t>406.4                                                                         400</t>
  </si>
  <si>
    <t>457                                                                            450</t>
  </si>
  <si>
    <t>508                                                                            500</t>
  </si>
  <si>
    <t>559                                                                            550</t>
  </si>
  <si>
    <t>610                                                                            600</t>
  </si>
  <si>
    <t>DUCTILE IRON PIPES TO SRN 202</t>
  </si>
  <si>
    <t>66                                                                                 50</t>
  </si>
  <si>
    <t>82                                                                                 65</t>
  </si>
  <si>
    <t>98                                                                                 80</t>
  </si>
  <si>
    <t>118                                                                             100</t>
  </si>
  <si>
    <t>144                                                                             125</t>
  </si>
  <si>
    <t>170                                                                             150</t>
  </si>
  <si>
    <t>222                                                                              200</t>
  </si>
  <si>
    <t>274                                                                              250</t>
  </si>
  <si>
    <t>326                                                                              300</t>
  </si>
  <si>
    <t>378                                                                              350</t>
  </si>
  <si>
    <t>429                                                                              400</t>
  </si>
  <si>
    <t>480                                                                              450</t>
  </si>
  <si>
    <t>532                                                                              500</t>
  </si>
  <si>
    <t>635                                                                              600</t>
  </si>
  <si>
    <t>Shop Drawings</t>
  </si>
  <si>
    <r>
      <t>36.</t>
    </r>
    <r>
      <rPr>
        <sz val="7"/>
        <color theme="1"/>
        <rFont val="Calibri"/>
        <family val="2"/>
        <scheme val="minor"/>
      </rPr>
      <t xml:space="preserve">         </t>
    </r>
    <r>
      <rPr>
        <sz val="12"/>
        <color theme="1"/>
        <rFont val="Calibri"/>
        <family val="2"/>
        <scheme val="minor"/>
      </rPr>
      <t>Detailed shop drawings, in triplicate, to be provided for all items where ferrous pipework, fittings and any metalwork i.e. penstocks, ladders etc., are indicated to be installed as outlined in the bills of quantities and drawings.  These drawings to be submitted well in advance of ordering the above materials and the billed rates are deemed to include for provision of these drawings, samples where requested, and inspection where fabricated by the Engineer or his Representative.</t>
    </r>
  </si>
  <si>
    <t>Prime Cost Items</t>
  </si>
  <si>
    <r>
      <t>37.</t>
    </r>
    <r>
      <rPr>
        <sz val="7"/>
        <color theme="1"/>
        <rFont val="Calibri"/>
        <family val="2"/>
        <scheme val="minor"/>
      </rPr>
      <t xml:space="preserve">         </t>
    </r>
    <r>
      <rPr>
        <sz val="12"/>
        <color theme="1"/>
        <rFont val="Calibri"/>
        <family val="2"/>
        <scheme val="minor"/>
      </rPr>
      <t>Attendance on nominated Sub-Contractors shall include for all or any of the following as appropriate - labour, materials and plant required for taking delivery, carting, storing, hoisting and builder's work entailed in fixing, erecting and installing as specified or in accordance with the manufacturer's instructions and all overheads and profits.</t>
    </r>
  </si>
  <si>
    <r>
      <t>38.</t>
    </r>
    <r>
      <rPr>
        <sz val="7"/>
        <color theme="1"/>
        <rFont val="Calibri"/>
        <family val="2"/>
        <scheme val="minor"/>
      </rPr>
      <t xml:space="preserve">         </t>
    </r>
    <r>
      <rPr>
        <sz val="12"/>
        <color theme="1"/>
        <rFont val="Calibri"/>
        <family val="2"/>
        <scheme val="minor"/>
      </rPr>
      <t>When, in the opinion of the Engineer, it is reasonable to expect the Contractor to price the attendance item it will be so included in the Bills of Quantities.  In all other cases it will form the subject of a Provisional Sum to be expended on a Dayworks basis.</t>
    </r>
  </si>
  <si>
    <r>
      <t>39.</t>
    </r>
    <r>
      <rPr>
        <sz val="7"/>
        <color theme="1"/>
        <rFont val="Calibri"/>
        <family val="2"/>
        <scheme val="minor"/>
      </rPr>
      <t xml:space="preserve">         </t>
    </r>
    <r>
      <rPr>
        <sz val="12"/>
        <color theme="1"/>
        <rFont val="Calibri"/>
        <family val="2"/>
        <scheme val="minor"/>
      </rPr>
      <t>Profit shall include for establishment charges, profit and any other costs not included in the attendance item.</t>
    </r>
  </si>
  <si>
    <r>
      <t>40.</t>
    </r>
    <r>
      <rPr>
        <sz val="7"/>
        <color theme="1"/>
        <rFont val="Calibri"/>
        <family val="2"/>
        <scheme val="minor"/>
      </rPr>
      <t xml:space="preserve">         </t>
    </r>
    <r>
      <rPr>
        <sz val="12"/>
        <color theme="1"/>
        <rFont val="Calibri"/>
        <family val="2"/>
        <scheme val="minor"/>
      </rPr>
      <t>The rates for the supply of any mechanical and electrical equipment shall include for the submission of factory test results.</t>
    </r>
  </si>
  <si>
    <r>
      <t>41.</t>
    </r>
    <r>
      <rPr>
        <sz val="7"/>
        <color theme="1"/>
        <rFont val="Calibri"/>
        <family val="2"/>
        <scheme val="minor"/>
      </rPr>
      <t xml:space="preserve">         </t>
    </r>
    <r>
      <rPr>
        <u/>
        <sz val="12"/>
        <color theme="1"/>
        <rFont val="Calibri"/>
        <family val="2"/>
        <scheme val="minor"/>
      </rPr>
      <t>Definitions of Terms used in Bill of Quantities</t>
    </r>
  </si>
  <si>
    <r>
      <rPr>
        <sz val="12"/>
        <color theme="1"/>
        <rFont val="Calibri"/>
        <family val="2"/>
        <scheme val="minor"/>
      </rPr>
      <t>a)</t>
    </r>
    <r>
      <rPr>
        <b/>
        <sz val="12"/>
        <color theme="1"/>
        <rFont val="Calibri"/>
        <family val="2"/>
        <scheme val="minor"/>
      </rPr>
      <t>‘Provide’</t>
    </r>
    <r>
      <rPr>
        <sz val="12"/>
        <color theme="1"/>
        <rFont val="Calibri"/>
        <family val="2"/>
        <scheme val="minor"/>
      </rPr>
      <t xml:space="preserve"> - shall mean all costs to cover purchase of materials in good condition, services for transaction with the supplier, supervision, transport to site of works all charges for rental, consumptions, overheads and profits throughout the Contract.  It shall also include for all maintenance, insurance and handling and storage whenever applicable.</t>
    </r>
  </si>
  <si>
    <r>
      <rPr>
        <sz val="12"/>
        <color theme="1"/>
        <rFont val="Calibri"/>
        <family val="2"/>
        <scheme val="minor"/>
      </rPr>
      <t>b)‘</t>
    </r>
    <r>
      <rPr>
        <b/>
        <sz val="12"/>
        <color theme="1"/>
        <rFont val="Calibri"/>
        <family val="2"/>
        <scheme val="minor"/>
      </rPr>
      <t>Excavate for’</t>
    </r>
    <r>
      <rPr>
        <sz val="12"/>
        <color theme="1"/>
        <rFont val="Calibri"/>
        <family val="2"/>
        <scheme val="minor"/>
      </rPr>
      <t xml:space="preserve"> - shall mean handling of any material from its incumbent position intended for specified work shown in the drawings or directed by the Engineer and backfilling and compacting part of material after laying of pipes or erection of structures, and cart away remaining to tips to be provided by the Contractor.  The cost for this work shall include all survey, supervision, labour, tools, machinery, protection of work, pumping, insurances and overheads and profits.</t>
    </r>
  </si>
  <si>
    <r>
      <rPr>
        <sz val="12"/>
        <color theme="1"/>
        <rFont val="Calibri"/>
        <family val="2"/>
        <scheme val="minor"/>
      </rPr>
      <t>c)</t>
    </r>
    <r>
      <rPr>
        <b/>
        <sz val="12"/>
        <color theme="1"/>
        <rFont val="Calibri"/>
        <family val="2"/>
        <scheme val="minor"/>
      </rPr>
      <t>‘Laying’</t>
    </r>
    <r>
      <rPr>
        <sz val="12"/>
        <color theme="1"/>
        <rFont val="Calibri"/>
        <family val="2"/>
        <scheme val="minor"/>
      </rPr>
      <t xml:space="preserve"> - shall cover all work necessary for placing an object or material to true line and level specified in a drawing or as directed by the Engineer.</t>
    </r>
  </si>
  <si>
    <r>
      <rPr>
        <sz val="12"/>
        <color theme="1"/>
        <rFont val="Calibri"/>
        <family val="2"/>
        <scheme val="minor"/>
      </rPr>
      <t>d)</t>
    </r>
    <r>
      <rPr>
        <b/>
        <sz val="12"/>
        <color theme="1"/>
        <rFont val="Calibri"/>
        <family val="2"/>
        <scheme val="minor"/>
      </rPr>
      <t>‘Jointing’</t>
    </r>
    <r>
      <rPr>
        <sz val="12"/>
        <color theme="1"/>
        <rFont val="Calibri"/>
        <family val="2"/>
        <scheme val="minor"/>
      </rPr>
      <t xml:space="preserve"> - shall mean process of fixing specified material, pipes, fittings and specials together using appropriate tools, material, labour and machinery.  It should cover for all work necessary to provide matching of opposite parts in size, shape and position indicated and clamps, seatings and holders to hold firmly.</t>
    </r>
  </si>
  <si>
    <t>e) ‘Testing’ - shall mean provision of all materials, apparatus, labour, machinery, charges for the media or chemical to be used and their transport, repair of object to be tested if required, re-testing, excavation of any part for visual inspection, erection of any type all until the object has been certified as having passed the required test satisfactorily.</t>
  </si>
  <si>
    <r>
      <t>f)</t>
    </r>
    <r>
      <rPr>
        <sz val="7"/>
        <color theme="1"/>
        <rFont val="Calibri"/>
        <family val="2"/>
        <scheme val="minor"/>
      </rPr>
      <t xml:space="preserve">       </t>
    </r>
    <r>
      <rPr>
        <b/>
        <sz val="12"/>
        <color theme="1"/>
        <rFont val="Calibri"/>
        <family val="2"/>
        <scheme val="minor"/>
      </rPr>
      <t>‘Install’</t>
    </r>
    <r>
      <rPr>
        <sz val="12"/>
        <color theme="1"/>
        <rFont val="Calibri"/>
        <family val="2"/>
        <scheme val="minor"/>
      </rPr>
      <t xml:space="preserve"> - shall include for all work requirements stipulated for "laying" and "jointing".  It will cover all expenses for the provision of labour, materials, removal from stores, complete erection, installation, supervision, site testing and commissioning as per the Specifications.</t>
    </r>
  </si>
  <si>
    <t>Unit:                         m3</t>
  </si>
  <si>
    <t>c)Item :               No Fines Concrete</t>
  </si>
  <si>
    <t>Unit:                 m3 of each class</t>
  </si>
  <si>
    <t>a) Item:            Concrete</t>
  </si>
  <si>
    <t>g)Item :            Waterstops</t>
  </si>
  <si>
    <t>Unit :                   m of each type</t>
  </si>
  <si>
    <t>h)Item:                          Mortar</t>
  </si>
  <si>
    <t>Unit:                                       m2</t>
  </si>
  <si>
    <t>Unit:                             As specified in the Special Specification</t>
  </si>
  <si>
    <t>i)Item:                    Admixture Workability and Hardening Agents</t>
  </si>
  <si>
    <t>Unit:                Tonne of each type for each range of diameters</t>
  </si>
  <si>
    <t>j)Item:          Reinforcement</t>
  </si>
  <si>
    <t>k)Item:               Fabric Reinforcement</t>
  </si>
  <si>
    <t>Unit:                         m2 of each type</t>
  </si>
  <si>
    <r>
      <t>5,000 m</t>
    </r>
    <r>
      <rPr>
        <vertAlign val="superscript"/>
        <sz val="12"/>
        <rFont val="Calibri"/>
        <family val="2"/>
        <scheme val="minor"/>
      </rPr>
      <t xml:space="preserve">3 </t>
    </r>
    <r>
      <rPr>
        <sz val="12"/>
        <rFont val="Calibri"/>
        <family val="2"/>
        <scheme val="minor"/>
      </rPr>
      <t>Kakuyuni Reservoir</t>
    </r>
  </si>
  <si>
    <t>BILL 4 - PUMP STATION &amp; ELECTRICAL WORKS</t>
  </si>
  <si>
    <t>Supply and install and commision Ground mounted two(2) No.33Kv/433V 50Hz, No. 1000kVA transformers with all necessary accessories and fittings according to the specifications.</t>
  </si>
  <si>
    <t>400/1000 volts grade XPLE/SWA/PVC copper cable to  IEC 60502 including cable glands, lugs and all accessories</t>
  </si>
  <si>
    <t>Incoming cables of size 2x  500mm sq XPLE/SWA/PVC CU Single core  cables from  the 1MVA transformer laid in the cable trench and terminated onto the Automatic Voltage regulator , complete with termination accessories I.e lugs and soldering etc</t>
  </si>
  <si>
    <t>Incoming cables of size 2x 500mm sq XPLE/SWA/PVC Single Core CU cable from  the Automatic Voltage Reulator  laid in the cable trench and terminated onto the Main low voltage switchboard to be complete with termination accessories I.e lugs and soldering etc</t>
  </si>
  <si>
    <r>
      <t>Multi-core 2x4C 120mm</t>
    </r>
    <r>
      <rPr>
        <vertAlign val="superscript"/>
        <sz val="10"/>
        <rFont val="Calibri"/>
        <family val="2"/>
        <scheme val="minor"/>
      </rPr>
      <t>2</t>
    </r>
    <r>
      <rPr>
        <sz val="10"/>
        <rFont val="Calibri"/>
        <family val="2"/>
        <scheme val="minor"/>
      </rPr>
      <t xml:space="preserve"> XPLE/SWA/PVC armoured copper cable in conduit/floor ducts from main switch board to the 800A TP&amp;N breaker for Local Distribution and  control panel .Complete with all the associates civil works </t>
    </r>
  </si>
  <si>
    <r>
      <t>Multi-core 2x4C 120mm</t>
    </r>
    <r>
      <rPr>
        <vertAlign val="superscript"/>
        <sz val="10"/>
        <rFont val="Calibri"/>
        <family val="2"/>
        <scheme val="minor"/>
      </rPr>
      <t>2</t>
    </r>
    <r>
      <rPr>
        <sz val="10"/>
        <rFont val="Calibri"/>
        <family val="2"/>
        <scheme val="minor"/>
      </rPr>
      <t xml:space="preserve"> XPLE/SWA/PVC armoured  spaced copper cable in conduit/floor ducts from pump Soft Starter starter to the motor terminal. Complete with all the associates civil works </t>
    </r>
  </si>
  <si>
    <t>Incoming cables on high voltage rated at 35Kv XPLE single core copper cables for connection of the 33Kv/0.433KV transformer to the HV busbars .Complete with all the cable connecting accessories ,heat shrinks connectors etc ,lugs and terminations and testing .</t>
  </si>
  <si>
    <t>AUTOMATIC VOLTAGE REGULATOR</t>
  </si>
  <si>
    <t>Supply and install a three phase 2No. 1000KVA Automatic Voltage Regulator  with efficiency of 98% and above, 50Hz, input voltage -  ± 25%, output voltage - 3PH+N 415VAC RMS, output voltage accuracy ± 3% (± 1% and upto ± 23% input variation, admitted load variation 0 to 100%, correction speed 20ms/v, waveform distortion &lt; 0.2%, ambient temperatures - -10% to +40% and relativehumudity 90%. To be as Mini Stab or Equivalent and approved.</t>
  </si>
  <si>
    <t xml:space="preserve">Supply and install  a 400Volts  1250Amps  3 phase rated vacuum circuit breaker complete with all the controls and protection  and to be mounted onto a modular switchboard . To be to the engineers approval </t>
  </si>
  <si>
    <r>
      <rPr>
        <b/>
        <sz val="11"/>
        <rFont val="Calibri"/>
        <family val="2"/>
        <scheme val="minor"/>
      </rPr>
      <t>Main Switchboard</t>
    </r>
    <r>
      <rPr>
        <sz val="11"/>
        <rFont val="Calibri"/>
        <family val="2"/>
        <scheme val="minor"/>
      </rPr>
      <t>, Supply, install, and test and commission 400 volts, Type Tested Assembly, Form 4, Type 5 construction metal clad floor mounted type, and Main LV and Instrumentation Panel complete with, instrumentation, integral mains phase failure panel and motorised breakers, status indicators and all accessories. 3,000Amps TP &amp; N rated busbars at full load integrated with the following ;</t>
    </r>
    <r>
      <rPr>
        <b/>
        <sz val="11"/>
        <rFont val="Calibri"/>
        <family val="2"/>
        <scheme val="minor"/>
      </rPr>
      <t xml:space="preserve"> i.</t>
    </r>
    <r>
      <rPr>
        <sz val="11"/>
        <rFont val="Calibri"/>
        <family val="2"/>
        <scheme val="minor"/>
      </rPr>
      <t xml:space="preserve"> 2 No.  2000Amps TP&amp;N minimum SCR 65kA MCCB adjustable incomer breakers. </t>
    </r>
    <r>
      <rPr>
        <b/>
        <sz val="11"/>
        <rFont val="Calibri"/>
        <family val="2"/>
        <scheme val="minor"/>
      </rPr>
      <t>ii.</t>
    </r>
    <r>
      <rPr>
        <sz val="11"/>
        <rFont val="Calibri"/>
        <family val="2"/>
        <scheme val="minor"/>
      </rPr>
      <t xml:space="preserve"> 4 No. outgoing breakers (65kA MCCB). TPN 800Amps. </t>
    </r>
    <r>
      <rPr>
        <b/>
        <sz val="11"/>
        <rFont val="Calibri"/>
        <family val="2"/>
        <scheme val="minor"/>
      </rPr>
      <t>iii.</t>
    </r>
    <r>
      <rPr>
        <sz val="11"/>
        <rFont val="Calibri"/>
        <family val="2"/>
        <scheme val="minor"/>
      </rPr>
      <t xml:space="preserve"> 1 No. Bus-tiebreaker  2000Amps TP&amp;N minimum SCR 65kA MCCB. </t>
    </r>
    <r>
      <rPr>
        <b/>
        <sz val="11"/>
        <rFont val="Calibri"/>
        <family val="2"/>
        <scheme val="minor"/>
      </rPr>
      <t xml:space="preserve"> iv</t>
    </r>
    <r>
      <rPr>
        <sz val="11"/>
        <rFont val="Calibri"/>
        <family val="2"/>
        <scheme val="minor"/>
      </rPr>
      <t>.  3 No. Soft starters rated 600 Amps C/W bypass contactors TPN minimum SCR 65kA within integrated controls and protection as per specifications.The protection shall at the very minimum include phase fault, phase failure relay, thermal over load, overcurrent protection,earth leakage and dry run protection. The protection settings shall be to the latest standards of BS or IEC standards. The panels shall also have run hour, ammeter and voltmeter meter for each pump prominently displayed at the front face. The board shall be designed for automatic operation but with an overide to allow manual selection of pumps. The panel shall have automatic step power factor correction capacitors to ensure at no time is the power factor below 0.93. The controls shall use float or pressure switches to achieve start stop operations for the pumps. The panel shall have an audible alarm that sounds whenever there is an electrical fault. The panel shall also have bulbs at the front of the panel illuminating for each pump. The lamps shall be green for pump running, red for pump tripped  and amber  when pump is not on running  but available for duty. Additionally the panel shall be fitted with selector switch to enable the operator to physically select the duty pumps while at the same time retaining the automatic rotational selection capacity to ensure uniform run hours. Each pumpset shall be fitted with an emergency switch adjacent to it to enable immediate stop and another emergency stop button at the panel.The board is to be fabricated using a minimum of 16 SWG or 2mm thick Galvanised steel sheets. The intrumentation panel will comprise : 1 No. flush ac voltmeter size 95x95mm, 0-500 V ac c/w selector switch and HRC protection fuses; 1 No. flush ac meters size 95x95mm, 0-600 Amps c/w CTS rated 15VA, 600/5 Amps. Integral automatically switched 600 kvar PFC bank, to IP20, comprising dry type capacitors type VARPLUS from MERLIN GERIN Rectiphase, complying to IEC 831 Standards, switched in steps of 1x50, 2x5 kvar complete with all necessary protections , controls, cabling and instrumentations. To have a digital indicator panel.  The design of the board must be submitted to the Engineer for approval before fabrication.</t>
    </r>
  </si>
  <si>
    <t>POWER  DISTRIBUTION BOARD</t>
  </si>
  <si>
    <t>6e.9</t>
  </si>
  <si>
    <t xml:space="preserve">   The panel is to serve 1 No. Compressor and other Auxilliary loads with the following i. 3 No. 200Amps TPN minimum SCR 20kA within integrated controls and protection. ii. I No. 100 Amps 36 Way TPN board with asssorted breakers. The protection shall at the very minimum include phase fault, phase failure relay, thermal over load, overcurrent protection,earth leakage and dry run protection for Motor branch. The protection settings shall be to the latest standards of BS or IEC standards.</t>
  </si>
  <si>
    <t xml:space="preserve">Provide for the highVoltage  busbar extension and medium voltage  reorganization and associate works </t>
  </si>
  <si>
    <t>Provide for civil works for the 2 No. 1MVA transformer  and the 2No. 1MVA AVR</t>
  </si>
  <si>
    <t>Provide for carting away of the existing 2MVA 33Kv/3.3 Kv transformer and the associated civil work</t>
  </si>
  <si>
    <t>Provide for KPLC Sum for additional KVA supply</t>
  </si>
  <si>
    <t>TESTING &amp; COMMISSIONING: Sum for Testing and commissioning of the entire installations Including HT, LV and Switchgear complete with all accessories, interconnections, controls, BMS link &amp;
activation and the necessary programing.</t>
  </si>
  <si>
    <r>
      <t>Provide, Suppy, Install and Commision Water Supply Pumps feeding the DN 800mm, 29km rising main from Baricho Water Works to Kakuyuni reservoir. The pump will be vertical turbine submersible pump drawing water from an existing 3,000 m</t>
    </r>
    <r>
      <rPr>
        <vertAlign val="superscript"/>
        <sz val="12"/>
        <rFont val="Calibri"/>
        <family val="2"/>
        <scheme val="minor"/>
      </rPr>
      <t>3</t>
    </r>
    <r>
      <rPr>
        <sz val="12"/>
        <rFont val="Calibri"/>
        <family val="2"/>
        <scheme val="minor"/>
      </rPr>
      <t xml:space="preserve"> sump tank (Q=820 m</t>
    </r>
    <r>
      <rPr>
        <vertAlign val="superscript"/>
        <sz val="12"/>
        <rFont val="Calibri"/>
        <family val="2"/>
        <scheme val="minor"/>
      </rPr>
      <t>3</t>
    </r>
    <r>
      <rPr>
        <sz val="12"/>
        <rFont val="Calibri"/>
        <family val="2"/>
        <scheme val="minor"/>
      </rPr>
      <t>/h, H =700 m). The pump rated at 239.26kW with nominal speed of 1493rpm discharge pipe is a DN 300. Three units required (2 duty, 1 standby)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</si>
</sst>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_(&quot;$&quot;* \(#,##0\);_(&quot;$&quot;* &quot;-&quot;_);_(@_)"/>
    <numFmt numFmtId="41" formatCode="_(* #,##0_);_(* \(#,##0\);_(* &quot;-&quot;_);_(@_)"/>
    <numFmt numFmtId="43" formatCode="_(* #,##0.00_);_(* \(#,##0.00\);_(* &quot;-&quot;??_);_(@_)"/>
    <numFmt numFmtId="164" formatCode="_-* #,##0_-;\-* #,##0_-;_-* &quot;-&quot;_-;_-@_-"/>
    <numFmt numFmtId="165" formatCode="_-* #,##0.00_-;\-* #,##0.00_-;_-* &quot;-&quot;??_-;_-@_-"/>
    <numFmt numFmtId="166" formatCode="&quot;£&quot;#,##0;\-&quot;£&quot;#,##0"/>
    <numFmt numFmtId="167" formatCode="_ * #,##0.00_ ;_ * \-#,##0.00_ ;_ * &quot;-&quot;??_ ;_ @_ "/>
    <numFmt numFmtId="168" formatCode="0.0"/>
    <numFmt numFmtId="169" formatCode="_(* #,##0_);_(* \(#,##0\);_(* &quot;-&quot;??_);_(@_)"/>
    <numFmt numFmtId="170" formatCode="_-* #,##0_-;\-* #,##0_-;_-* &quot;-&quot;??_-;_-@_-"/>
    <numFmt numFmtId="171" formatCode="#,##0.0"/>
    <numFmt numFmtId="172" formatCode="#,##0.00_ "/>
    <numFmt numFmtId="173" formatCode="_ * #,##0_ ;_ * \-#,##0_ ;_ * &quot;-&quot;??_ ;_ @_ "/>
    <numFmt numFmtId="174" formatCode="0_)"/>
    <numFmt numFmtId="175" formatCode="0.00_);[Red]\(0.00\)"/>
    <numFmt numFmtId="176" formatCode="0.00_ ;[Red]\-0.00\ "/>
    <numFmt numFmtId="177" formatCode="_(* #,##0.0_);_(* \(#,##0.0\);_(* &quot;-&quot;??_);_(@_)"/>
    <numFmt numFmtId="178" formatCode="0.0%"/>
    <numFmt numFmtId="179" formatCode="#,##0.0;[Red]\-#,##0.0"/>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8"/>
      <name val="Arial"/>
      <family val="2"/>
    </font>
    <font>
      <vertAlign val="superscript"/>
      <sz val="10"/>
      <name val="Arial"/>
      <family val="2"/>
    </font>
    <font>
      <b/>
      <u/>
      <sz val="10"/>
      <name val="Arial"/>
      <family val="2"/>
    </font>
    <font>
      <u/>
      <sz val="10"/>
      <name val="Arial"/>
      <family val="2"/>
    </font>
    <font>
      <i/>
      <u/>
      <sz val="10"/>
      <name val="Arial"/>
      <family val="2"/>
    </font>
    <font>
      <b/>
      <i/>
      <u/>
      <sz val="10"/>
      <name val="Arial"/>
      <family val="2"/>
    </font>
    <font>
      <sz val="11"/>
      <color theme="1"/>
      <name val="Calibri"/>
      <family val="2"/>
      <scheme val="minor"/>
    </font>
    <font>
      <sz val="10"/>
      <color theme="1"/>
      <name val="Arial"/>
      <family val="2"/>
    </font>
    <font>
      <sz val="10"/>
      <name val="Times New Roman"/>
      <family val="1"/>
    </font>
    <font>
      <sz val="12"/>
      <name val="宋体"/>
      <charset val="134"/>
    </font>
    <font>
      <sz val="11"/>
      <color theme="1"/>
      <name val="Calibri"/>
      <family val="2"/>
    </font>
    <font>
      <sz val="11"/>
      <color indexed="8"/>
      <name val="Calibri"/>
      <family val="2"/>
    </font>
    <font>
      <b/>
      <sz val="10"/>
      <color theme="1"/>
      <name val="Arial"/>
      <family val="2"/>
    </font>
    <font>
      <i/>
      <sz val="10"/>
      <name val="Arial"/>
      <family val="2"/>
    </font>
    <font>
      <b/>
      <sz val="10"/>
      <color rgb="FFFF0000"/>
      <name val="Arial"/>
      <family val="2"/>
    </font>
    <font>
      <b/>
      <u/>
      <sz val="10"/>
      <color theme="1"/>
      <name val="Arial"/>
      <family val="2"/>
    </font>
    <font>
      <sz val="12"/>
      <name val="Arial MT"/>
    </font>
    <font>
      <sz val="10"/>
      <color indexed="10"/>
      <name val="Arial"/>
      <family val="2"/>
    </font>
    <font>
      <vertAlign val="superscript"/>
      <sz val="10"/>
      <color theme="1"/>
      <name val="Arial"/>
      <family val="2"/>
    </font>
    <font>
      <sz val="10"/>
      <color rgb="FFFF0000"/>
      <name val="Arial"/>
      <family val="2"/>
    </font>
    <font>
      <sz val="11"/>
      <color rgb="FFFF0000"/>
      <name val="Calibri"/>
      <family val="2"/>
      <scheme val="minor"/>
    </font>
    <font>
      <sz val="9"/>
      <name val="Arial"/>
      <family val="2"/>
    </font>
    <font>
      <u/>
      <sz val="10"/>
      <color theme="1"/>
      <name val="Arial"/>
      <family val="2"/>
    </font>
    <font>
      <b/>
      <i/>
      <sz val="10"/>
      <name val="Arial"/>
      <family val="2"/>
    </font>
    <font>
      <i/>
      <u/>
      <vertAlign val="superscript"/>
      <sz val="10"/>
      <name val="Arial"/>
      <family val="2"/>
    </font>
    <font>
      <u/>
      <sz val="10"/>
      <color rgb="FFFF0000"/>
      <name val="Arial"/>
      <family val="2"/>
    </font>
    <font>
      <b/>
      <sz val="9"/>
      <color indexed="81"/>
      <name val="Tahoma"/>
      <family val="2"/>
    </font>
    <font>
      <sz val="9"/>
      <color indexed="81"/>
      <name val="Tahoma"/>
      <family val="2"/>
    </font>
    <font>
      <sz val="11"/>
      <color theme="1"/>
      <name val="Arial"/>
      <family val="2"/>
    </font>
    <font>
      <sz val="11"/>
      <color rgb="FFFF0000"/>
      <name val="Arial"/>
      <family val="2"/>
    </font>
    <font>
      <b/>
      <sz val="9"/>
      <name val="Arial"/>
      <family val="2"/>
    </font>
    <font>
      <b/>
      <u/>
      <sz val="10"/>
      <color indexed="8"/>
      <name val="Arial"/>
      <family val="2"/>
    </font>
    <font>
      <sz val="11"/>
      <color indexed="8"/>
      <name val="宋体"/>
      <family val="3"/>
      <charset val="134"/>
    </font>
    <font>
      <sz val="10"/>
      <name val="Dutch"/>
    </font>
    <font>
      <sz val="10"/>
      <color theme="1"/>
      <name val="Arial Narrow"/>
      <family val="2"/>
    </font>
    <font>
      <sz val="8"/>
      <color rgb="FF000000"/>
      <name val="MS Sans Serif"/>
      <family val="2"/>
    </font>
    <font>
      <sz val="10"/>
      <name val="Times New Roman"/>
      <family val="1"/>
    </font>
    <font>
      <b/>
      <u/>
      <sz val="14"/>
      <name val="Calibri"/>
      <family val="2"/>
      <scheme val="minor"/>
    </font>
    <font>
      <sz val="10"/>
      <name val="Calibri"/>
      <family val="2"/>
      <scheme val="minor"/>
    </font>
    <font>
      <sz val="12"/>
      <color indexed="8"/>
      <name val="Arial"/>
      <family val="2"/>
    </font>
    <font>
      <b/>
      <sz val="12"/>
      <color indexed="8"/>
      <name val="Arial"/>
      <family val="2"/>
    </font>
    <font>
      <sz val="12"/>
      <name val="Arial"/>
      <family val="2"/>
    </font>
    <font>
      <b/>
      <sz val="12"/>
      <name val="Arial"/>
      <family val="2"/>
    </font>
    <font>
      <b/>
      <u/>
      <sz val="12"/>
      <name val="Calibri"/>
      <family val="2"/>
      <scheme val="minor"/>
    </font>
    <font>
      <sz val="11"/>
      <name val="Calibri"/>
      <family val="2"/>
      <scheme val="minor"/>
    </font>
    <font>
      <b/>
      <sz val="11"/>
      <name val="Calibri"/>
      <family val="2"/>
      <scheme val="minor"/>
    </font>
    <font>
      <b/>
      <u/>
      <sz val="11"/>
      <name val="Calibri"/>
      <family val="2"/>
      <scheme val="minor"/>
    </font>
    <font>
      <sz val="10"/>
      <name val="Eras Medium ITC"/>
      <family val="2"/>
    </font>
    <font>
      <sz val="11"/>
      <color rgb="FF000000"/>
      <name val="Calibri"/>
      <family val="2"/>
    </font>
    <font>
      <b/>
      <sz val="18"/>
      <color rgb="FF0070C0"/>
      <name val="Calibri"/>
      <family val="2"/>
      <scheme val="minor"/>
    </font>
    <font>
      <b/>
      <sz val="12"/>
      <name val="Calibri"/>
      <family val="2"/>
      <scheme val="minor"/>
    </font>
    <font>
      <b/>
      <sz val="18"/>
      <color rgb="FF000000"/>
      <name val="Calibri"/>
      <family val="2"/>
      <scheme val="minor"/>
    </font>
    <font>
      <b/>
      <u/>
      <vertAlign val="superscript"/>
      <sz val="14"/>
      <name val="Calibri"/>
      <family val="2"/>
      <scheme val="minor"/>
    </font>
    <font>
      <b/>
      <sz val="16"/>
      <name val="Calibri"/>
      <family val="2"/>
      <scheme val="minor"/>
    </font>
    <font>
      <sz val="12"/>
      <color indexed="8"/>
      <name val="Calibri"/>
      <family val="2"/>
      <scheme val="minor"/>
    </font>
    <font>
      <b/>
      <sz val="14"/>
      <color indexed="8"/>
      <name val="Calibri"/>
      <family val="2"/>
      <scheme val="minor"/>
    </font>
    <font>
      <sz val="12"/>
      <name val="Calibri"/>
      <family val="2"/>
      <scheme val="minor"/>
    </font>
    <font>
      <vertAlign val="superscript"/>
      <sz val="12"/>
      <name val="Calibri"/>
      <family val="2"/>
      <scheme val="minor"/>
    </font>
    <font>
      <b/>
      <sz val="12"/>
      <color indexed="8"/>
      <name val="Calibri"/>
      <family val="2"/>
      <scheme val="minor"/>
    </font>
    <font>
      <b/>
      <i/>
      <sz val="12"/>
      <color indexed="8"/>
      <name val="Calibri"/>
      <family val="2"/>
      <scheme val="minor"/>
    </font>
    <font>
      <vertAlign val="superscript"/>
      <sz val="12"/>
      <color indexed="8"/>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name val="Calibri"/>
      <family val="2"/>
      <scheme val="minor"/>
    </font>
    <font>
      <i/>
      <u/>
      <sz val="12"/>
      <name val="Calibri"/>
      <family val="2"/>
      <scheme val="minor"/>
    </font>
    <font>
      <b/>
      <i/>
      <sz val="12"/>
      <name val="Calibri"/>
      <family val="2"/>
      <scheme val="minor"/>
    </font>
    <font>
      <i/>
      <sz val="12"/>
      <name val="Calibri"/>
      <family val="2"/>
      <scheme val="minor"/>
    </font>
    <font>
      <i/>
      <u/>
      <vertAlign val="superscript"/>
      <sz val="12"/>
      <name val="Calibri"/>
      <family val="2"/>
      <scheme val="minor"/>
    </font>
    <font>
      <b/>
      <i/>
      <u/>
      <vertAlign val="superscript"/>
      <sz val="12"/>
      <name val="Calibri"/>
      <family val="2"/>
      <scheme val="minor"/>
    </font>
    <font>
      <b/>
      <u/>
      <vertAlign val="superscript"/>
      <sz val="12"/>
      <name val="Calibri"/>
      <family val="2"/>
      <scheme val="minor"/>
    </font>
    <font>
      <b/>
      <sz val="11"/>
      <color rgb="FFFF0000"/>
      <name val="Calibri"/>
      <family val="2"/>
      <scheme val="minor"/>
    </font>
    <font>
      <i/>
      <u/>
      <sz val="11"/>
      <name val="Calibri"/>
      <family val="2"/>
      <scheme val="minor"/>
    </font>
    <font>
      <b/>
      <sz val="12"/>
      <color rgb="FFFF0000"/>
      <name val="Calibri"/>
      <family val="2"/>
      <scheme val="minor"/>
    </font>
    <font>
      <b/>
      <u/>
      <sz val="16"/>
      <color theme="1"/>
      <name val="Calibri"/>
      <family val="2"/>
      <scheme val="minor"/>
    </font>
    <font>
      <sz val="16"/>
      <color theme="1"/>
      <name val="Calibri"/>
      <family val="2"/>
      <scheme val="minor"/>
    </font>
    <font>
      <sz val="7"/>
      <color theme="1"/>
      <name val="Calibri"/>
      <family val="2"/>
      <scheme val="minor"/>
    </font>
    <font>
      <sz val="12"/>
      <color theme="1"/>
      <name val="Times New Roman"/>
      <family val="1"/>
    </font>
    <font>
      <u/>
      <sz val="12"/>
      <color theme="1"/>
      <name val="Calibri"/>
      <family val="2"/>
      <scheme val="minor"/>
    </font>
    <font>
      <u/>
      <sz val="12"/>
      <color theme="1"/>
      <name val="Times New Roman"/>
      <family val="1"/>
    </font>
    <font>
      <sz val="8"/>
      <color theme="1"/>
      <name val="Calibri"/>
      <family val="2"/>
      <scheme val="minor"/>
    </font>
    <font>
      <b/>
      <sz val="10"/>
      <color rgb="FF000000"/>
      <name val="Calibri"/>
      <family val="2"/>
      <scheme val="minor"/>
    </font>
    <font>
      <sz val="10"/>
      <color rgb="FF000000"/>
      <name val="Calibri"/>
      <family val="2"/>
      <scheme val="minor"/>
    </font>
    <font>
      <vertAlign val="superscrip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22">
    <border>
      <left/>
      <right/>
      <top/>
      <bottom/>
      <diagonal/>
    </border>
    <border>
      <left/>
      <right style="thin">
        <color indexed="64"/>
      </right>
      <top/>
      <bottom/>
      <diagonal/>
    </border>
    <border>
      <left style="double">
        <color indexed="64"/>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top style="double">
        <color indexed="64"/>
      </top>
      <bottom/>
      <diagonal/>
    </border>
    <border>
      <left style="thin">
        <color indexed="64"/>
      </left>
      <right/>
      <top/>
      <bottom style="double">
        <color indexed="64"/>
      </bottom>
      <diagonal/>
    </border>
    <border>
      <left style="thin">
        <color indexed="8"/>
      </left>
      <right style="thin">
        <color indexed="8"/>
      </right>
      <top style="double">
        <color indexed="64"/>
      </top>
      <bottom/>
      <diagonal/>
    </border>
    <border>
      <left style="thin">
        <color indexed="8"/>
      </left>
      <right style="thin">
        <color indexed="8"/>
      </right>
      <top/>
      <bottom/>
      <diagonal/>
    </border>
    <border>
      <left style="thin">
        <color auto="1"/>
      </left>
      <right style="thin">
        <color auto="1"/>
      </right>
      <top/>
      <bottom/>
      <diagonal/>
    </border>
    <border>
      <left style="double">
        <color indexed="64"/>
      </left>
      <right style="thin">
        <color indexed="8"/>
      </right>
      <top/>
      <bottom/>
      <diagonal/>
    </border>
    <border>
      <left style="double">
        <color indexed="64"/>
      </left>
      <right style="thin">
        <color indexed="8"/>
      </right>
      <top style="double">
        <color indexed="64"/>
      </top>
      <bottom/>
      <diagonal/>
    </border>
    <border>
      <left style="thin">
        <color indexed="64"/>
      </left>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double">
        <color auto="1"/>
      </left>
      <right style="thin">
        <color auto="1"/>
      </right>
      <top/>
      <bottom/>
      <diagonal/>
    </border>
    <border>
      <left style="thin">
        <color indexed="64"/>
      </left>
      <right/>
      <top/>
      <bottom/>
      <diagonal/>
    </border>
    <border>
      <left style="double">
        <color indexed="64"/>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double">
        <color indexed="64"/>
      </right>
      <top style="medium">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8">
    <xf numFmtId="0" fontId="0" fillId="0" borderId="0"/>
    <xf numFmtId="43" fontId="17"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165" fontId="17" fillId="0" borderId="0" applyFont="0" applyFill="0" applyBorder="0" applyAlignment="0" applyProtection="0"/>
    <xf numFmtId="0" fontId="19" fillId="0" borderId="0"/>
    <xf numFmtId="0" fontId="19" fillId="0" borderId="0"/>
    <xf numFmtId="0" fontId="26" fillId="0" borderId="0"/>
    <xf numFmtId="0" fontId="17" fillId="0" borderId="0">
      <alignment vertical="center"/>
    </xf>
    <xf numFmtId="9" fontId="17" fillId="0" borderId="0" applyFont="0" applyFill="0" applyBorder="0" applyAlignment="0" applyProtection="0"/>
    <xf numFmtId="0" fontId="28" fillId="0" borderId="0"/>
    <xf numFmtId="0" fontId="17" fillId="0" borderId="0"/>
    <xf numFmtId="43" fontId="17" fillId="0" borderId="0" applyFont="0" applyFill="0" applyBorder="0" applyAlignment="0" applyProtection="0"/>
    <xf numFmtId="0" fontId="28" fillId="0" borderId="0"/>
    <xf numFmtId="43" fontId="17" fillId="0" borderId="0" applyFont="0" applyFill="0" applyBorder="0" applyAlignment="0" applyProtection="0"/>
    <xf numFmtId="0" fontId="17" fillId="0" borderId="0"/>
    <xf numFmtId="0" fontId="17" fillId="0" borderId="0">
      <alignment vertical="center"/>
    </xf>
    <xf numFmtId="43" fontId="29" fillId="0" borderId="0" applyFont="0" applyFill="0" applyBorder="0" applyAlignment="0" applyProtection="0">
      <alignment vertical="center"/>
    </xf>
    <xf numFmtId="0" fontId="28" fillId="0" borderId="0"/>
    <xf numFmtId="0" fontId="17" fillId="0" borderId="0" applyFont="0" applyFill="0" applyBorder="0" applyAlignment="0" applyProtection="0"/>
    <xf numFmtId="0" fontId="17" fillId="0" borderId="0"/>
    <xf numFmtId="0" fontId="30" fillId="0" borderId="0"/>
    <xf numFmtId="43" fontId="30" fillId="0" borderId="0" applyFont="0" applyFill="0" applyBorder="0" applyAlignment="0" applyProtection="0"/>
    <xf numFmtId="0" fontId="30" fillId="0" borderId="0"/>
    <xf numFmtId="0" fontId="28" fillId="0" borderId="0"/>
    <xf numFmtId="0" fontId="16" fillId="0" borderId="0"/>
    <xf numFmtId="0" fontId="17" fillId="0" borderId="0"/>
    <xf numFmtId="0" fontId="28" fillId="0" borderId="0"/>
    <xf numFmtId="0" fontId="15" fillId="0" borderId="0"/>
    <xf numFmtId="0" fontId="28" fillId="0" borderId="0"/>
    <xf numFmtId="0" fontId="17" fillId="0" borderId="0"/>
    <xf numFmtId="0" fontId="17" fillId="0" borderId="0" applyFont="0" applyFill="0" applyBorder="0" applyAlignment="0" applyProtection="0"/>
    <xf numFmtId="0" fontId="14" fillId="0" borderId="0"/>
    <xf numFmtId="43" fontId="31" fillId="0" borderId="0" applyFont="0" applyFill="0" applyBorder="0" applyAlignment="0" applyProtection="0"/>
    <xf numFmtId="167" fontId="17" fillId="0" borderId="0" applyFont="0" applyFill="0" applyBorder="0" applyAlignment="0" applyProtection="0"/>
    <xf numFmtId="0" fontId="13" fillId="0" borderId="0"/>
    <xf numFmtId="167" fontId="13" fillId="0" borderId="0" applyFont="0" applyFill="0" applyBorder="0" applyAlignment="0" applyProtection="0"/>
    <xf numFmtId="0" fontId="13" fillId="0" borderId="0"/>
    <xf numFmtId="0" fontId="13" fillId="0" borderId="0"/>
    <xf numFmtId="167" fontId="30"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0" fontId="17" fillId="0" borderId="0"/>
    <xf numFmtId="0" fontId="12" fillId="0" borderId="0"/>
    <xf numFmtId="167" fontId="17" fillId="0" borderId="0" applyFont="0" applyFill="0" applyBorder="0" applyAlignment="0" applyProtection="0"/>
    <xf numFmtId="167" fontId="29" fillId="0" borderId="0" applyFont="0" applyFill="0" applyBorder="0" applyAlignment="0" applyProtection="0">
      <alignment vertical="center"/>
    </xf>
    <xf numFmtId="167" fontId="12" fillId="0" borderId="0" applyFont="0" applyFill="0" applyBorder="0" applyAlignment="0" applyProtection="0"/>
    <xf numFmtId="0" fontId="12" fillId="0" borderId="0"/>
    <xf numFmtId="0" fontId="12" fillId="0" borderId="0"/>
    <xf numFmtId="43" fontId="28" fillId="0" borderId="0" applyFont="0" applyFill="0" applyBorder="0" applyAlignment="0" applyProtection="0"/>
    <xf numFmtId="0" fontId="17" fillId="0" borderId="0"/>
    <xf numFmtId="9" fontId="28" fillId="0" borderId="0" applyFont="0" applyFill="0" applyBorder="0" applyAlignment="0" applyProtection="0"/>
    <xf numFmtId="0" fontId="29" fillId="0" borderId="0">
      <alignment vertical="center"/>
    </xf>
    <xf numFmtId="0" fontId="28" fillId="0" borderId="0"/>
    <xf numFmtId="0" fontId="17" fillId="0" borderId="0"/>
    <xf numFmtId="165" fontId="17" fillId="0" borderId="0" applyFont="0" applyFill="0" applyBorder="0" applyAlignment="0" applyProtection="0"/>
    <xf numFmtId="174" fontId="36" fillId="0" borderId="0">
      <alignment wrapText="1"/>
    </xf>
    <xf numFmtId="43" fontId="11" fillId="0" borderId="0" applyFont="0" applyFill="0" applyBorder="0" applyAlignment="0" applyProtection="0"/>
    <xf numFmtId="43" fontId="1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7" fontId="11" fillId="0" borderId="0" applyFont="0" applyFill="0" applyBorder="0" applyAlignment="0" applyProtection="0"/>
    <xf numFmtId="0" fontId="11" fillId="0" borderId="0"/>
    <xf numFmtId="0" fontId="11" fillId="0" borderId="0"/>
    <xf numFmtId="167" fontId="11" fillId="0" borderId="0" applyFont="0" applyFill="0" applyBorder="0" applyAlignment="0" applyProtection="0"/>
    <xf numFmtId="0" fontId="11" fillId="0" borderId="0"/>
    <xf numFmtId="167" fontId="11" fillId="0" borderId="0" applyFont="0" applyFill="0" applyBorder="0" applyAlignment="0" applyProtection="0"/>
    <xf numFmtId="0" fontId="11" fillId="0" borderId="0"/>
    <xf numFmtId="0" fontId="11" fillId="0" borderId="0"/>
    <xf numFmtId="0" fontId="28" fillId="0" borderId="0"/>
    <xf numFmtId="0" fontId="17" fillId="0" borderId="0"/>
    <xf numFmtId="0" fontId="28" fillId="0" borderId="0"/>
    <xf numFmtId="0" fontId="28" fillId="0" borderId="0"/>
    <xf numFmtId="0" fontId="28" fillId="0" borderId="0"/>
    <xf numFmtId="43" fontId="28" fillId="0" borderId="0" applyFont="0" applyFill="0" applyBorder="0" applyAlignment="0" applyProtection="0"/>
    <xf numFmtId="0" fontId="17" fillId="0" borderId="0"/>
    <xf numFmtId="0" fontId="17" fillId="0" borderId="0"/>
    <xf numFmtId="0" fontId="10" fillId="0" borderId="0">
      <alignment vertical="center"/>
    </xf>
    <xf numFmtId="0" fontId="28" fillId="0" borderId="0"/>
    <xf numFmtId="0" fontId="17" fillId="0" borderId="0"/>
    <xf numFmtId="0" fontId="17" fillId="0" borderId="0"/>
    <xf numFmtId="9" fontId="31"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165" fontId="9" fillId="0" borderId="0" applyFont="0" applyFill="0" applyBorder="0" applyAlignment="0" applyProtection="0"/>
    <xf numFmtId="0" fontId="9" fillId="0" borderId="0"/>
    <xf numFmtId="0" fontId="20" fillId="0" borderId="0"/>
    <xf numFmtId="42" fontId="20" fillId="0" borderId="0"/>
    <xf numFmtId="0" fontId="17" fillId="0" borderId="0"/>
    <xf numFmtId="0" fontId="53" fillId="0" borderId="0"/>
    <xf numFmtId="0" fontId="17" fillId="0" borderId="0"/>
    <xf numFmtId="0" fontId="54" fillId="0" borderId="0"/>
    <xf numFmtId="43" fontId="54" fillId="0" borderId="0" applyFont="0" applyFill="0" applyBorder="0" applyAlignment="0" applyProtection="0"/>
    <xf numFmtId="0" fontId="17" fillId="0" borderId="0"/>
    <xf numFmtId="43" fontId="8" fillId="0" borderId="0" applyFont="0" applyFill="0" applyBorder="0" applyAlignment="0" applyProtection="0"/>
    <xf numFmtId="0" fontId="17" fillId="0" borderId="0" quotePrefix="1"/>
    <xf numFmtId="43" fontId="17" fillId="0" borderId="0" applyFont="0" applyFill="0" applyBorder="0" applyAlignment="0" applyProtection="0"/>
    <xf numFmtId="0" fontId="17" fillId="0" borderId="0"/>
    <xf numFmtId="0" fontId="30" fillId="0" borderId="0"/>
    <xf numFmtId="0" fontId="8" fillId="0" borderId="0"/>
    <xf numFmtId="165" fontId="8" fillId="0" borderId="0" applyFont="0" applyFill="0" applyBorder="0" applyAlignment="0" applyProtection="0"/>
    <xf numFmtId="0" fontId="55" fillId="0" borderId="0" applyAlignment="0">
      <alignment vertical="top" wrapText="1"/>
      <protection locked="0"/>
    </xf>
    <xf numFmtId="0" fontId="55" fillId="0" borderId="0" applyAlignment="0">
      <alignment vertical="top" wrapText="1"/>
      <protection locked="0"/>
    </xf>
    <xf numFmtId="167" fontId="8"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167" fontId="7" fillId="0" borderId="0" applyFont="0" applyFill="0" applyBorder="0" applyAlignment="0" applyProtection="0"/>
    <xf numFmtId="43" fontId="7" fillId="0" borderId="0" applyFont="0" applyFill="0" applyBorder="0" applyAlignment="0" applyProtection="0"/>
    <xf numFmtId="0" fontId="7" fillId="0" borderId="0">
      <alignment vertical="center"/>
    </xf>
    <xf numFmtId="0" fontId="7" fillId="0" borderId="0"/>
    <xf numFmtId="165" fontId="7" fillId="0" borderId="0" applyFont="0" applyFill="0" applyBorder="0" applyAlignment="0" applyProtection="0"/>
    <xf numFmtId="43"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56" fillId="0" borderId="0"/>
    <xf numFmtId="43" fontId="28" fillId="0" borderId="0" applyFont="0" applyFill="0" applyBorder="0" applyAlignment="0" applyProtection="0"/>
    <xf numFmtId="0" fontId="28" fillId="0" borderId="0"/>
    <xf numFmtId="43" fontId="1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0" fontId="4" fillId="0" borderId="0">
      <alignment vertical="center"/>
    </xf>
    <xf numFmtId="0" fontId="4" fillId="0" borderId="0"/>
    <xf numFmtId="165" fontId="4" fillId="0" borderId="0" applyFont="0" applyFill="0" applyBorder="0" applyAlignment="0" applyProtection="0"/>
    <xf numFmtId="43" fontId="28" fillId="0" borderId="0" applyFont="0" applyFill="0" applyBorder="0" applyAlignment="0" applyProtection="0"/>
    <xf numFmtId="0" fontId="28" fillId="0" borderId="0"/>
    <xf numFmtId="0" fontId="17" fillId="0" borderId="0"/>
    <xf numFmtId="0" fontId="28" fillId="0" borderId="0"/>
    <xf numFmtId="0" fontId="4" fillId="0" borderId="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4" fillId="0" borderId="0"/>
    <xf numFmtId="0" fontId="20" fillId="0" borderId="0"/>
    <xf numFmtId="0" fontId="17" fillId="0" borderId="0"/>
    <xf numFmtId="42" fontId="20" fillId="0" borderId="0"/>
    <xf numFmtId="43" fontId="31" fillId="0" borderId="0" applyFont="0" applyFill="0" applyBorder="0" applyAlignment="0" applyProtection="0"/>
    <xf numFmtId="165" fontId="4" fillId="0" borderId="0" applyFont="0" applyFill="0" applyBorder="0" applyAlignment="0" applyProtection="0"/>
    <xf numFmtId="0" fontId="4" fillId="0" borderId="0">
      <alignment vertical="center"/>
    </xf>
    <xf numFmtId="0" fontId="4" fillId="0" borderId="0">
      <alignment vertical="center"/>
    </xf>
    <xf numFmtId="43" fontId="67" fillId="0" borderId="0" applyFont="0" applyFill="0" applyBorder="0" applyAlignment="0" applyProtection="0"/>
    <xf numFmtId="9" fontId="4" fillId="0" borderId="0" applyFont="0" applyFill="0" applyBorder="0" applyAlignment="0" applyProtection="0"/>
    <xf numFmtId="0" fontId="67" fillId="0" borderId="0"/>
    <xf numFmtId="0" fontId="68" fillId="0" borderId="0"/>
    <xf numFmtId="43" fontId="17" fillId="0" borderId="0" applyFont="0" applyFill="0" applyBorder="0" applyAlignment="0" applyProtection="0"/>
    <xf numFmtId="0" fontId="3" fillId="0" borderId="0"/>
    <xf numFmtId="43" fontId="1" fillId="0" borderId="0" applyFont="0" applyFill="0" applyBorder="0" applyAlignment="0" applyProtection="0"/>
    <xf numFmtId="9" fontId="1" fillId="0" borderId="0" applyFont="0" applyFill="0" applyBorder="0" applyAlignment="0" applyProtection="0"/>
  </cellStyleXfs>
  <cellXfs count="1580">
    <xf numFmtId="0" fontId="0" fillId="0" borderId="0" xfId="0"/>
    <xf numFmtId="0" fontId="18" fillId="0" borderId="2" xfId="0" applyFont="1" applyBorder="1" applyAlignment="1">
      <alignment horizontal="center" vertical="top"/>
    </xf>
    <xf numFmtId="0" fontId="18" fillId="0" borderId="13" xfId="0" applyNumberFormat="1" applyFont="1" applyBorder="1" applyAlignment="1">
      <alignment horizontal="center" vertical="top" wrapText="1"/>
    </xf>
    <xf numFmtId="0" fontId="17" fillId="0" borderId="0" xfId="0" applyFont="1"/>
    <xf numFmtId="11" fontId="17" fillId="0" borderId="2" xfId="0" applyNumberFormat="1" applyFont="1" applyBorder="1" applyAlignment="1">
      <alignment horizontal="center" vertical="top"/>
    </xf>
    <xf numFmtId="0" fontId="17" fillId="0" borderId="2" xfId="0" applyFont="1" applyBorder="1" applyAlignment="1">
      <alignment horizontal="center" vertical="top"/>
    </xf>
    <xf numFmtId="0" fontId="17" fillId="0" borderId="2" xfId="0" applyFont="1" applyBorder="1" applyAlignment="1">
      <alignment horizontal="center" vertical="center"/>
    </xf>
    <xf numFmtId="0" fontId="17" fillId="0" borderId="2" xfId="0" applyFont="1" applyFill="1" applyBorder="1" applyAlignment="1">
      <alignment horizontal="center" vertical="top"/>
    </xf>
    <xf numFmtId="0" fontId="17" fillId="0" borderId="1" xfId="0" applyNumberFormat="1" applyFont="1" applyBorder="1" applyAlignment="1">
      <alignment horizontal="left" vertical="top" wrapText="1"/>
    </xf>
    <xf numFmtId="0" fontId="17" fillId="0" borderId="0" xfId="0" applyFont="1" applyBorder="1" applyAlignment="1">
      <alignment horizontal="center" vertical="top"/>
    </xf>
    <xf numFmtId="0" fontId="17" fillId="0" borderId="5" xfId="0" applyFont="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xf>
    <xf numFmtId="0" fontId="18" fillId="0" borderId="13" xfId="0" applyFont="1" applyBorder="1" applyAlignment="1">
      <alignment horizontal="center" vertical="top" wrapText="1"/>
    </xf>
    <xf numFmtId="11" fontId="17" fillId="0" borderId="2" xfId="0" applyNumberFormat="1" applyFont="1" applyBorder="1" applyAlignment="1">
      <alignment horizontal="center" vertical="top" wrapText="1"/>
    </xf>
    <xf numFmtId="0" fontId="17" fillId="0" borderId="20" xfId="0" applyFont="1" applyBorder="1" applyAlignment="1">
      <alignment horizontal="center" vertical="top" wrapText="1"/>
    </xf>
    <xf numFmtId="3" fontId="17" fillId="0" borderId="7" xfId="0" applyNumberFormat="1" applyFont="1" applyFill="1" applyBorder="1" applyAlignment="1">
      <alignment horizontal="center" vertical="center"/>
    </xf>
    <xf numFmtId="0" fontId="17" fillId="0" borderId="0" xfId="0" applyFont="1" applyBorder="1"/>
    <xf numFmtId="0" fontId="18" fillId="0" borderId="2" xfId="0" applyFont="1" applyBorder="1" applyAlignment="1">
      <alignment horizontal="center" vertical="top" wrapText="1"/>
    </xf>
    <xf numFmtId="0" fontId="17" fillId="0" borderId="0" xfId="10" applyFont="1" applyBorder="1" applyAlignment="1">
      <alignment horizontal="left"/>
    </xf>
    <xf numFmtId="0" fontId="18" fillId="0" borderId="7" xfId="0" applyFont="1" applyBorder="1" applyAlignment="1">
      <alignment horizontal="left" vertical="center" wrapText="1"/>
    </xf>
    <xf numFmtId="0" fontId="17" fillId="0" borderId="7" xfId="18" applyFont="1" applyBorder="1" applyAlignment="1">
      <alignment horizontal="left" vertical="center" wrapText="1"/>
    </xf>
    <xf numFmtId="0" fontId="17" fillId="0" borderId="7" xfId="18" applyFont="1" applyBorder="1" applyAlignment="1">
      <alignment horizontal="center" vertical="center"/>
    </xf>
    <xf numFmtId="3" fontId="17" fillId="0" borderId="1" xfId="18" applyNumberFormat="1" applyFont="1" applyBorder="1" applyAlignment="1" applyProtection="1">
      <alignment horizontal="right" vertical="center"/>
      <protection locked="0"/>
    </xf>
    <xf numFmtId="3" fontId="17" fillId="0" borderId="7" xfId="39" applyNumberFormat="1" applyFont="1" applyBorder="1" applyAlignment="1">
      <alignment horizontal="center" vertical="center"/>
    </xf>
    <xf numFmtId="0" fontId="18" fillId="0" borderId="2" xfId="0" applyFont="1" applyBorder="1" applyAlignment="1">
      <alignment horizontal="center" vertical="center"/>
    </xf>
    <xf numFmtId="0" fontId="18" fillId="0" borderId="7" xfId="0" applyNumberFormat="1" applyFont="1" applyBorder="1" applyAlignment="1">
      <alignment horizontal="left" vertical="top" wrapText="1"/>
    </xf>
    <xf numFmtId="0" fontId="17" fillId="0" borderId="2" xfId="0" applyNumberFormat="1" applyFont="1" applyBorder="1" applyAlignment="1">
      <alignment horizontal="center" vertical="top"/>
    </xf>
    <xf numFmtId="0" fontId="17" fillId="0" borderId="7" xfId="51" applyFont="1" applyFill="1" applyBorder="1" applyAlignment="1">
      <alignment horizontal="left" vertical="top" wrapText="1"/>
    </xf>
    <xf numFmtId="0" fontId="18" fillId="0" borderId="10" xfId="0" applyFont="1" applyBorder="1" applyAlignment="1">
      <alignment horizontal="center" vertical="center" wrapText="1"/>
    </xf>
    <xf numFmtId="3" fontId="18" fillId="0" borderId="10" xfId="0" applyNumberFormat="1" applyFont="1" applyBorder="1" applyAlignment="1">
      <alignment horizontal="right" vertical="center" wrapText="1"/>
    </xf>
    <xf numFmtId="3" fontId="18" fillId="0" borderId="10" xfId="4" applyNumberFormat="1" applyFont="1" applyBorder="1" applyAlignment="1">
      <alignment horizontal="center" vertical="center" wrapText="1"/>
    </xf>
    <xf numFmtId="0" fontId="18" fillId="0" borderId="7" xfId="0" applyFont="1" applyBorder="1" applyAlignment="1">
      <alignment horizontal="center" vertical="center" wrapText="1"/>
    </xf>
    <xf numFmtId="3" fontId="18" fillId="0" borderId="7" xfId="0" applyNumberFormat="1" applyFont="1" applyBorder="1" applyAlignment="1">
      <alignment horizontal="right" vertical="center" wrapText="1"/>
    </xf>
    <xf numFmtId="3" fontId="18" fillId="0" borderId="1" xfId="4" applyNumberFormat="1" applyFont="1" applyBorder="1" applyAlignment="1">
      <alignment horizontal="center" vertical="center" wrapText="1"/>
    </xf>
    <xf numFmtId="0" fontId="17" fillId="0" borderId="20" xfId="21" applyFont="1" applyBorder="1" applyAlignment="1">
      <alignment horizontal="center" vertical="center"/>
    </xf>
    <xf numFmtId="0" fontId="17" fillId="0" borderId="5" xfId="21" applyFont="1" applyBorder="1" applyAlignment="1">
      <alignment horizontal="left" vertical="center" wrapText="1"/>
    </xf>
    <xf numFmtId="1" fontId="34" fillId="0" borderId="5" xfId="21" applyNumberFormat="1" applyFont="1" applyBorder="1" applyAlignment="1" applyProtection="1">
      <alignment horizontal="center" vertical="center"/>
      <protection locked="0"/>
    </xf>
    <xf numFmtId="0" fontId="17" fillId="0" borderId="3" xfId="21" applyFont="1" applyBorder="1" applyAlignment="1">
      <alignment horizontal="center" vertical="center"/>
    </xf>
    <xf numFmtId="0" fontId="17" fillId="0" borderId="4" xfId="21" applyFont="1" applyBorder="1" applyAlignment="1">
      <alignment horizontal="left" vertical="center" wrapText="1"/>
    </xf>
    <xf numFmtId="1" fontId="17" fillId="0" borderId="4" xfId="21" applyNumberFormat="1" applyFont="1" applyBorder="1" applyAlignment="1" applyProtection="1">
      <alignment horizontal="center" vertical="center"/>
      <protection locked="0"/>
    </xf>
    <xf numFmtId="0" fontId="17" fillId="0" borderId="2" xfId="0" applyFont="1" applyFill="1" applyBorder="1" applyAlignment="1">
      <alignment horizontal="center" vertical="center"/>
    </xf>
    <xf numFmtId="0" fontId="17" fillId="0" borderId="7" xfId="0" applyFont="1" applyFill="1" applyBorder="1" applyAlignment="1">
      <alignment horizontal="left" vertical="center" wrapText="1"/>
    </xf>
    <xf numFmtId="0" fontId="17" fillId="0" borderId="5" xfId="0" applyFont="1" applyBorder="1" applyAlignment="1">
      <alignment horizontal="left" vertical="center"/>
    </xf>
    <xf numFmtId="0" fontId="17" fillId="0" borderId="4" xfId="0" applyFont="1" applyBorder="1" applyAlignment="1">
      <alignment horizontal="left" vertical="center"/>
    </xf>
    <xf numFmtId="3" fontId="17" fillId="0" borderId="4" xfId="0" applyNumberFormat="1" applyFont="1" applyBorder="1" applyAlignment="1">
      <alignment horizontal="center" vertical="center"/>
    </xf>
    <xf numFmtId="43" fontId="17" fillId="0" borderId="12" xfId="1" applyFont="1" applyBorder="1" applyAlignment="1" applyProtection="1">
      <alignment horizontal="right" vertical="center"/>
      <protection locked="0"/>
    </xf>
    <xf numFmtId="43" fontId="17" fillId="0" borderId="18" xfId="1" applyFont="1" applyBorder="1" applyAlignment="1" applyProtection="1">
      <alignment horizontal="right" vertical="center"/>
      <protection locked="0"/>
    </xf>
    <xf numFmtId="43" fontId="17" fillId="0" borderId="21" xfId="1" applyFont="1" applyBorder="1" applyAlignment="1" applyProtection="1">
      <alignment horizontal="right" vertical="center"/>
      <protection locked="0"/>
    </xf>
    <xf numFmtId="43" fontId="18" fillId="0" borderId="12" xfId="1" applyFont="1" applyBorder="1" applyAlignment="1">
      <alignment horizontal="right" vertical="center" wrapText="1"/>
    </xf>
    <xf numFmtId="43" fontId="18" fillId="0" borderId="14" xfId="1" applyFont="1" applyBorder="1" applyAlignment="1">
      <alignment horizontal="right" vertical="center" wrapText="1"/>
    </xf>
    <xf numFmtId="43" fontId="17" fillId="0" borderId="12" xfId="1" applyFont="1" applyFill="1" applyBorder="1" applyAlignment="1">
      <alignment horizontal="right" vertical="center"/>
    </xf>
    <xf numFmtId="43" fontId="17" fillId="0" borderId="19" xfId="1" applyFont="1" applyFill="1" applyBorder="1" applyAlignment="1">
      <alignment horizontal="right" vertical="center"/>
    </xf>
    <xf numFmtId="0" fontId="18" fillId="0" borderId="10" xfId="0" applyFont="1" applyBorder="1" applyAlignment="1">
      <alignment horizontal="left" vertical="center" wrapText="1"/>
    </xf>
    <xf numFmtId="0" fontId="22" fillId="0" borderId="7" xfId="51" applyFont="1" applyFill="1" applyBorder="1" applyAlignment="1">
      <alignment horizontal="left" wrapText="1"/>
    </xf>
    <xf numFmtId="0" fontId="17" fillId="0" borderId="7" xfId="51" applyFont="1" applyFill="1" applyBorder="1" applyAlignment="1">
      <alignment horizontal="left" wrapText="1"/>
    </xf>
    <xf numFmtId="0" fontId="18" fillId="0" borderId="2" xfId="0" applyNumberFormat="1" applyFont="1" applyBorder="1" applyAlignment="1">
      <alignment horizontal="center" vertical="top"/>
    </xf>
    <xf numFmtId="0" fontId="17" fillId="0" borderId="7" xfId="0" applyNumberFormat="1" applyFont="1" applyBorder="1" applyAlignment="1">
      <alignment horizontal="center" vertical="top"/>
    </xf>
    <xf numFmtId="0" fontId="17" fillId="0" borderId="7" xfId="0" applyNumberFormat="1" applyFont="1" applyBorder="1" applyAlignment="1">
      <alignment horizontal="center" vertical="top" wrapText="1"/>
    </xf>
    <xf numFmtId="0" fontId="17" fillId="0" borderId="7" xfId="0" applyFont="1" applyBorder="1" applyAlignment="1">
      <alignment vertical="top" wrapText="1"/>
    </xf>
    <xf numFmtId="0" fontId="18" fillId="0" borderId="7" xfId="0" applyNumberFormat="1" applyFont="1" applyBorder="1" applyAlignment="1">
      <alignment vertical="top" wrapText="1"/>
    </xf>
    <xf numFmtId="0" fontId="17" fillId="0" borderId="7" xfId="0" applyNumberFormat="1" applyFont="1" applyBorder="1" applyAlignment="1">
      <alignment vertical="top" wrapText="1"/>
    </xf>
    <xf numFmtId="0" fontId="18" fillId="0" borderId="7" xfId="0" applyFont="1" applyBorder="1" applyAlignment="1">
      <alignment vertical="top" wrapText="1"/>
    </xf>
    <xf numFmtId="0" fontId="17" fillId="0" borderId="7" xfId="0" applyFont="1" applyBorder="1" applyAlignment="1">
      <alignment horizontal="center" vertical="top" wrapText="1"/>
    </xf>
    <xf numFmtId="4" fontId="18" fillId="0" borderId="12" xfId="1" applyNumberFormat="1" applyFont="1" applyBorder="1" applyAlignment="1">
      <alignment vertical="top" wrapText="1"/>
    </xf>
    <xf numFmtId="0" fontId="17" fillId="0" borderId="19" xfId="0" applyFont="1" applyBorder="1"/>
    <xf numFmtId="4" fontId="17" fillId="0" borderId="12" xfId="1" applyNumberFormat="1" applyFont="1" applyBorder="1" applyAlignment="1" applyProtection="1">
      <alignment vertical="top" wrapText="1"/>
    </xf>
    <xf numFmtId="165" fontId="17" fillId="0" borderId="8" xfId="56" applyFont="1" applyBorder="1" applyAlignment="1" applyProtection="1">
      <alignment horizontal="center" vertical="top" wrapText="1"/>
    </xf>
    <xf numFmtId="4" fontId="17" fillId="0" borderId="16" xfId="1" applyNumberFormat="1" applyFont="1" applyBorder="1" applyAlignment="1" applyProtection="1">
      <alignment vertical="top" wrapText="1"/>
    </xf>
    <xf numFmtId="4" fontId="17" fillId="0" borderId="0" xfId="0" applyNumberFormat="1" applyFont="1" applyBorder="1"/>
    <xf numFmtId="0" fontId="17" fillId="0" borderId="8" xfId="0" applyFont="1" applyBorder="1" applyAlignment="1">
      <alignment horizontal="center" vertical="top"/>
    </xf>
    <xf numFmtId="4" fontId="18" fillId="0" borderId="12" xfId="1" applyNumberFormat="1" applyFont="1" applyBorder="1" applyAlignment="1" applyProtection="1">
      <alignment vertical="top" wrapText="1"/>
    </xf>
    <xf numFmtId="4" fontId="18" fillId="0" borderId="12" xfId="1" applyNumberFormat="1" applyFont="1" applyFill="1" applyBorder="1" applyAlignment="1" applyProtection="1">
      <alignment vertical="top" wrapText="1"/>
    </xf>
    <xf numFmtId="4" fontId="18" fillId="0" borderId="12" xfId="1" applyNumberFormat="1" applyFont="1" applyFill="1" applyBorder="1" applyAlignment="1">
      <alignment vertical="top" wrapText="1"/>
    </xf>
    <xf numFmtId="0" fontId="18" fillId="0" borderId="7" xfId="0" applyFont="1" applyBorder="1" applyAlignment="1">
      <alignment horizontal="center" vertical="top" wrapText="1"/>
    </xf>
    <xf numFmtId="4" fontId="18" fillId="0" borderId="12" xfId="1" applyNumberFormat="1" applyFont="1" applyBorder="1" applyAlignment="1">
      <alignment vertical="top"/>
    </xf>
    <xf numFmtId="4" fontId="18" fillId="0" borderId="14" xfId="1" applyNumberFormat="1" applyFont="1" applyBorder="1" applyAlignment="1">
      <alignment horizontal="center" vertical="top" wrapText="1"/>
    </xf>
    <xf numFmtId="3" fontId="17" fillId="0" borderId="7" xfId="1" applyNumberFormat="1" applyFont="1" applyBorder="1" applyAlignment="1">
      <alignment vertical="top" wrapText="1"/>
    </xf>
    <xf numFmtId="4" fontId="17" fillId="0" borderId="12" xfId="1" applyNumberFormat="1" applyFont="1" applyBorder="1" applyAlignment="1">
      <alignment vertical="top" wrapText="1"/>
    </xf>
    <xf numFmtId="3" fontId="17" fillId="0" borderId="7" xfId="4" applyNumberFormat="1" applyFont="1" applyBorder="1" applyAlignment="1">
      <alignment vertical="top" wrapText="1"/>
    </xf>
    <xf numFmtId="4" fontId="17" fillId="0" borderId="16" xfId="1" applyNumberFormat="1" applyFont="1" applyBorder="1" applyAlignment="1">
      <alignment vertical="top"/>
    </xf>
    <xf numFmtId="4" fontId="17" fillId="0" borderId="12" xfId="1" applyNumberFormat="1" applyFont="1" applyBorder="1" applyAlignment="1">
      <alignment vertical="top"/>
    </xf>
    <xf numFmtId="4" fontId="17" fillId="0" borderId="17" xfId="1" applyNumberFormat="1" applyFont="1" applyBorder="1" applyAlignment="1">
      <alignment vertical="top"/>
    </xf>
    <xf numFmtId="3" fontId="17" fillId="0" borderId="0" xfId="4" applyNumberFormat="1" applyFont="1" applyBorder="1" applyAlignment="1">
      <alignment vertical="top"/>
    </xf>
    <xf numFmtId="169" fontId="18" fillId="0" borderId="10" xfId="1" applyNumberFormat="1" applyFont="1" applyBorder="1" applyAlignment="1">
      <alignment horizontal="center" vertical="top" wrapText="1"/>
    </xf>
    <xf numFmtId="0" fontId="17" fillId="0" borderId="1" xfId="0" applyNumberFormat="1" applyFont="1" applyBorder="1" applyAlignment="1">
      <alignment vertical="top" wrapText="1"/>
    </xf>
    <xf numFmtId="0" fontId="17" fillId="0" borderId="7" xfId="0" applyFont="1" applyBorder="1" applyAlignment="1">
      <alignment horizontal="center" vertical="top"/>
    </xf>
    <xf numFmtId="0" fontId="18" fillId="0" borderId="1" xfId="0" applyNumberFormat="1" applyFont="1" applyBorder="1" applyAlignment="1">
      <alignment vertical="top" wrapText="1"/>
    </xf>
    <xf numFmtId="0" fontId="24" fillId="0" borderId="1" xfId="0" applyNumberFormat="1" applyFont="1" applyBorder="1" applyAlignment="1">
      <alignment vertical="top" wrapText="1"/>
    </xf>
    <xf numFmtId="169" fontId="17" fillId="0" borderId="7" xfId="1" applyNumberFormat="1" applyFont="1" applyBorder="1" applyAlignment="1">
      <alignment vertical="top" wrapText="1"/>
    </xf>
    <xf numFmtId="169" fontId="17" fillId="0" borderId="7" xfId="1" applyNumberFormat="1" applyFont="1" applyBorder="1" applyAlignment="1">
      <alignment vertical="top"/>
    </xf>
    <xf numFmtId="0" fontId="17" fillId="0" borderId="37" xfId="0" applyFont="1" applyBorder="1" applyAlignment="1">
      <alignment horizontal="center" vertical="top"/>
    </xf>
    <xf numFmtId="0" fontId="17" fillId="0" borderId="5" xfId="21" applyFont="1" applyBorder="1" applyAlignment="1">
      <alignment horizontal="center" vertical="center"/>
    </xf>
    <xf numFmtId="4" fontId="17" fillId="0" borderId="11" xfId="21" applyNumberFormat="1" applyFont="1" applyBorder="1" applyAlignment="1" applyProtection="1">
      <alignment horizontal="center" vertical="center"/>
      <protection locked="0"/>
    </xf>
    <xf numFmtId="0" fontId="17" fillId="0" borderId="4" xfId="21" applyFont="1" applyBorder="1" applyAlignment="1">
      <alignment horizontal="center" vertical="center"/>
    </xf>
    <xf numFmtId="4" fontId="17" fillId="0" borderId="6" xfId="21" applyNumberFormat="1" applyFont="1" applyBorder="1" applyAlignment="1" applyProtection="1">
      <alignment horizontal="center" vertical="center"/>
      <protection locked="0"/>
    </xf>
    <xf numFmtId="0" fontId="18" fillId="0" borderId="1" xfId="0" applyFont="1" applyBorder="1" applyAlignment="1">
      <alignment horizontal="center" vertical="top" wrapText="1"/>
    </xf>
    <xf numFmtId="0" fontId="17" fillId="0" borderId="0" xfId="0" applyFont="1" applyBorder="1" applyAlignment="1">
      <alignment vertical="top"/>
    </xf>
    <xf numFmtId="0" fontId="22" fillId="0" borderId="1" xfId="0" applyFont="1" applyBorder="1" applyAlignment="1">
      <alignment horizontal="left" vertical="top" wrapText="1"/>
    </xf>
    <xf numFmtId="0" fontId="17" fillId="0" borderId="7" xfId="0" applyFont="1" applyFill="1" applyBorder="1" applyAlignment="1">
      <alignment horizontal="center"/>
    </xf>
    <xf numFmtId="0" fontId="17" fillId="0" borderId="1" xfId="0" applyFont="1" applyBorder="1" applyAlignment="1">
      <alignment horizontal="left" vertical="top" wrapText="1"/>
    </xf>
    <xf numFmtId="0" fontId="17" fillId="0" borderId="1" xfId="0" applyFont="1" applyBorder="1" applyAlignment="1">
      <alignment horizontal="center" vertical="center"/>
    </xf>
    <xf numFmtId="169" fontId="17" fillId="0" borderId="1" xfId="1" applyNumberFormat="1" applyFont="1" applyFill="1" applyBorder="1" applyAlignment="1">
      <alignment horizontal="center" vertical="center"/>
    </xf>
    <xf numFmtId="0" fontId="17" fillId="0" borderId="1" xfId="0" applyFont="1" applyBorder="1" applyAlignment="1">
      <alignment horizontal="center" vertical="top" wrapText="1"/>
    </xf>
    <xf numFmtId="0" fontId="17" fillId="0" borderId="5" xfId="0" applyFont="1" applyBorder="1" applyAlignment="1">
      <alignment horizontal="left" vertical="top"/>
    </xf>
    <xf numFmtId="3" fontId="17" fillId="0" borderId="11" xfId="4" applyNumberFormat="1" applyFont="1" applyFill="1" applyBorder="1" applyAlignment="1">
      <alignment vertical="top"/>
    </xf>
    <xf numFmtId="0" fontId="18" fillId="0" borderId="37" xfId="0" applyFont="1" applyBorder="1" applyAlignment="1">
      <alignment horizontal="center" vertical="top"/>
    </xf>
    <xf numFmtId="0" fontId="18" fillId="0" borderId="0" xfId="0" applyFont="1" applyBorder="1" applyAlignment="1">
      <alignment vertical="top" wrapText="1"/>
    </xf>
    <xf numFmtId="0" fontId="18" fillId="0" borderId="0" xfId="0" applyNumberFormat="1" applyFont="1" applyBorder="1" applyAlignment="1">
      <alignment horizontal="left" vertical="top"/>
    </xf>
    <xf numFmtId="3" fontId="18" fillId="0" borderId="1" xfId="1" applyNumberFormat="1" applyFont="1" applyFill="1" applyBorder="1" applyAlignment="1">
      <alignment vertical="top"/>
    </xf>
    <xf numFmtId="0" fontId="17" fillId="0" borderId="4" xfId="0" applyFont="1" applyBorder="1" applyAlignment="1">
      <alignment vertical="top" wrapText="1"/>
    </xf>
    <xf numFmtId="0" fontId="17" fillId="0" borderId="4" xfId="0" applyFont="1" applyBorder="1" applyAlignment="1">
      <alignment horizontal="left" vertical="top"/>
    </xf>
    <xf numFmtId="3" fontId="17" fillId="0" borderId="6" xfId="4" applyNumberFormat="1" applyFont="1" applyFill="1" applyBorder="1" applyAlignment="1">
      <alignment vertical="top"/>
    </xf>
    <xf numFmtId="4" fontId="18" fillId="0" borderId="12" xfId="1" applyNumberFormat="1" applyFont="1" applyBorder="1" applyAlignment="1">
      <alignment horizontal="center" vertical="top" wrapText="1"/>
    </xf>
    <xf numFmtId="3" fontId="17" fillId="0" borderId="7" xfId="0" applyNumberFormat="1" applyFont="1" applyFill="1" applyBorder="1" applyAlignment="1">
      <alignment horizontal="center"/>
    </xf>
    <xf numFmtId="0" fontId="17" fillId="0" borderId="1" xfId="0" applyFont="1" applyBorder="1" applyAlignment="1">
      <alignment vertical="top" wrapText="1"/>
    </xf>
    <xf numFmtId="0" fontId="17" fillId="0" borderId="7" xfId="0" applyFont="1" applyBorder="1" applyAlignment="1">
      <alignment horizontal="center"/>
    </xf>
    <xf numFmtId="3" fontId="17" fillId="0" borderId="7" xfId="0" applyNumberFormat="1" applyFont="1" applyBorder="1" applyAlignment="1">
      <alignment horizontal="center" vertical="top"/>
    </xf>
    <xf numFmtId="3" fontId="17" fillId="0" borderId="7" xfId="4" applyNumberFormat="1" applyFont="1" applyBorder="1" applyAlignment="1">
      <alignment vertical="top"/>
    </xf>
    <xf numFmtId="3" fontId="17" fillId="0" borderId="5" xfId="0" applyNumberFormat="1" applyFont="1" applyBorder="1" applyAlignment="1">
      <alignment horizontal="right" vertical="top"/>
    </xf>
    <xf numFmtId="3" fontId="18" fillId="0" borderId="0" xfId="1" applyNumberFormat="1" applyFont="1" applyBorder="1" applyAlignment="1">
      <alignment horizontal="right" vertical="top"/>
    </xf>
    <xf numFmtId="0" fontId="17" fillId="0" borderId="4" xfId="0" applyFont="1" applyBorder="1" applyAlignment="1">
      <alignment horizontal="center" vertical="top"/>
    </xf>
    <xf numFmtId="3" fontId="17" fillId="0" borderId="4" xfId="0" applyNumberFormat="1" applyFont="1" applyBorder="1" applyAlignment="1">
      <alignment horizontal="right" vertical="top"/>
    </xf>
    <xf numFmtId="0" fontId="17" fillId="0" borderId="0" xfId="0" applyFont="1" applyBorder="1" applyAlignment="1">
      <alignment horizontal="center"/>
    </xf>
    <xf numFmtId="1" fontId="17" fillId="0" borderId="0" xfId="0" applyNumberFormat="1" applyFont="1" applyBorder="1"/>
    <xf numFmtId="169" fontId="17" fillId="0" borderId="0" xfId="1" applyNumberFormat="1" applyFont="1" applyBorder="1"/>
    <xf numFmtId="4" fontId="17" fillId="0" borderId="0" xfId="1" applyNumberFormat="1" applyFont="1" applyBorder="1"/>
    <xf numFmtId="3" fontId="17" fillId="0" borderId="0" xfId="0" applyNumberFormat="1" applyFont="1" applyBorder="1" applyAlignment="1">
      <alignment horizontal="right"/>
    </xf>
    <xf numFmtId="3" fontId="17" fillId="0" borderId="0" xfId="0" applyNumberFormat="1" applyFont="1" applyBorder="1" applyAlignment="1">
      <alignment horizontal="center"/>
    </xf>
    <xf numFmtId="0" fontId="18" fillId="0" borderId="10" xfId="0" applyFont="1" applyBorder="1" applyAlignment="1">
      <alignment horizontal="center" vertical="top" wrapText="1"/>
    </xf>
    <xf numFmtId="3" fontId="18" fillId="0" borderId="10" xfId="0" applyNumberFormat="1" applyFont="1" applyBorder="1" applyAlignment="1">
      <alignment horizontal="right" vertical="top" wrapText="1"/>
    </xf>
    <xf numFmtId="3" fontId="18" fillId="0" borderId="10" xfId="4" applyNumberFormat="1" applyFont="1" applyBorder="1" applyAlignment="1">
      <alignment horizontal="center" vertical="top" wrapText="1"/>
    </xf>
    <xf numFmtId="3" fontId="18" fillId="0" borderId="7" xfId="0" applyNumberFormat="1" applyFont="1" applyBorder="1" applyAlignment="1">
      <alignment horizontal="right" vertical="top" wrapText="1"/>
    </xf>
    <xf numFmtId="3" fontId="18" fillId="0" borderId="7" xfId="4" applyNumberFormat="1" applyFont="1" applyBorder="1" applyAlignment="1">
      <alignment horizontal="center" vertical="top" wrapText="1"/>
    </xf>
    <xf numFmtId="0" fontId="0" fillId="0" borderId="0" xfId="0" applyFill="1"/>
    <xf numFmtId="4" fontId="17" fillId="0" borderId="19" xfId="1" applyNumberFormat="1" applyFont="1" applyBorder="1"/>
    <xf numFmtId="4" fontId="17" fillId="0" borderId="19" xfId="1" applyNumberFormat="1" applyFont="1" applyBorder="1" applyAlignment="1">
      <alignment vertical="top"/>
    </xf>
    <xf numFmtId="0" fontId="17" fillId="0" borderId="5" xfId="0" applyFont="1" applyBorder="1" applyAlignment="1">
      <alignment horizontal="center" vertical="center"/>
    </xf>
    <xf numFmtId="3" fontId="17" fillId="0" borderId="7" xfId="0" applyNumberFormat="1" applyFont="1" applyBorder="1" applyAlignment="1">
      <alignment horizontal="right" vertical="top"/>
    </xf>
    <xf numFmtId="3" fontId="17" fillId="0" borderId="7" xfId="4" applyNumberFormat="1" applyFont="1" applyFill="1" applyBorder="1" applyAlignment="1">
      <alignment vertical="top"/>
    </xf>
    <xf numFmtId="4" fontId="17" fillId="0" borderId="12" xfId="1" applyNumberFormat="1" applyFont="1" applyFill="1" applyBorder="1" applyAlignment="1">
      <alignment vertical="top"/>
    </xf>
    <xf numFmtId="0" fontId="17" fillId="3" borderId="1" xfId="0" applyFont="1" applyFill="1" applyBorder="1" applyAlignment="1">
      <alignment horizontal="left" vertical="top" wrapText="1"/>
    </xf>
    <xf numFmtId="3" fontId="18" fillId="0" borderId="1" xfId="0" applyNumberFormat="1" applyFont="1" applyBorder="1" applyAlignment="1">
      <alignment horizontal="right" vertical="top" wrapText="1"/>
    </xf>
    <xf numFmtId="3" fontId="17" fillId="0" borderId="1" xfId="0" applyNumberFormat="1" applyFont="1" applyBorder="1" applyAlignment="1">
      <alignment horizontal="right" vertical="top" wrapText="1"/>
    </xf>
    <xf numFmtId="3" fontId="17" fillId="0" borderId="7" xfId="1" applyNumberFormat="1" applyFont="1" applyBorder="1" applyAlignment="1">
      <alignment horizontal="right" vertical="top"/>
    </xf>
    <xf numFmtId="171" fontId="17" fillId="0" borderId="7" xfId="1" applyNumberFormat="1" applyFont="1" applyBorder="1" applyAlignment="1">
      <alignment horizontal="right" vertical="top"/>
    </xf>
    <xf numFmtId="0" fontId="17" fillId="0" borderId="7" xfId="86" quotePrefix="1" applyFont="1" applyFill="1" applyBorder="1" applyAlignment="1">
      <alignment horizontal="left" vertical="top" wrapText="1"/>
    </xf>
    <xf numFmtId="3" fontId="17" fillId="0" borderId="7" xfId="1" applyNumberFormat="1" applyFont="1" applyFill="1" applyBorder="1" applyAlignment="1">
      <alignment vertical="top"/>
    </xf>
    <xf numFmtId="0" fontId="18" fillId="0" borderId="7" xfId="0" applyFont="1" applyBorder="1" applyAlignment="1">
      <alignment wrapText="1"/>
    </xf>
    <xf numFmtId="3" fontId="17" fillId="0" borderId="7" xfId="0" applyNumberFormat="1" applyFont="1" applyBorder="1" applyAlignment="1">
      <alignment horizontal="right"/>
    </xf>
    <xf numFmtId="3" fontId="17" fillId="0" borderId="7" xfId="0" applyNumberFormat="1" applyFont="1" applyBorder="1" applyAlignment="1">
      <alignment horizontal="center"/>
    </xf>
    <xf numFmtId="0" fontId="17" fillId="0" borderId="7" xfId="0" applyFont="1" applyBorder="1" applyAlignment="1">
      <alignment wrapText="1"/>
    </xf>
    <xf numFmtId="0" fontId="24" fillId="0" borderId="7" xfId="0" applyFont="1" applyBorder="1" applyAlignment="1">
      <alignment wrapText="1"/>
    </xf>
    <xf numFmtId="4" fontId="17" fillId="0" borderId="12" xfId="1" applyNumberFormat="1" applyFont="1" applyBorder="1" applyAlignment="1">
      <alignment horizontal="center"/>
    </xf>
    <xf numFmtId="4" fontId="17" fillId="0" borderId="36" xfId="1" applyNumberFormat="1" applyFont="1" applyBorder="1" applyAlignment="1">
      <alignment horizontal="center"/>
    </xf>
    <xf numFmtId="0" fontId="39" fillId="0" borderId="34" xfId="86" applyFont="1" applyFill="1" applyBorder="1" applyAlignment="1">
      <alignment horizontal="center" vertical="top"/>
    </xf>
    <xf numFmtId="0" fontId="39" fillId="0" borderId="7" xfId="86" quotePrefix="1" applyFont="1" applyFill="1" applyBorder="1" applyAlignment="1">
      <alignment horizontal="left" vertical="top" wrapText="1"/>
    </xf>
    <xf numFmtId="175" fontId="39" fillId="0" borderId="7" xfId="87" applyNumberFormat="1" applyFont="1" applyFill="1" applyBorder="1" applyAlignment="1" applyProtection="1">
      <alignment horizontal="center" vertical="center"/>
      <protection locked="0"/>
    </xf>
    <xf numFmtId="43" fontId="39" fillId="0" borderId="7" xfId="58" applyFont="1" applyFill="1" applyBorder="1" applyAlignment="1">
      <alignment horizontal="center" vertical="center"/>
    </xf>
    <xf numFmtId="169" fontId="39" fillId="0" borderId="7" xfId="58" applyNumberFormat="1" applyFont="1" applyFill="1" applyBorder="1" applyAlignment="1" applyProtection="1">
      <alignment vertical="center"/>
      <protection locked="0"/>
    </xf>
    <xf numFmtId="169" fontId="39" fillId="0" borderId="33" xfId="58" applyNumberFormat="1" applyFont="1" applyFill="1" applyBorder="1" applyAlignment="1" applyProtection="1">
      <alignment vertical="center"/>
      <protection locked="0"/>
    </xf>
    <xf numFmtId="0" fontId="27" fillId="0" borderId="34" xfId="86" applyFont="1" applyFill="1" applyBorder="1" applyAlignment="1">
      <alignment horizontal="center" vertical="top"/>
    </xf>
    <xf numFmtId="0" fontId="42" fillId="0" borderId="7" xfId="86" applyFont="1" applyFill="1" applyBorder="1" applyAlignment="1">
      <alignment vertical="top" wrapText="1"/>
    </xf>
    <xf numFmtId="175" fontId="27" fillId="0" borderId="7" xfId="86" applyNumberFormat="1" applyFont="1" applyFill="1" applyBorder="1" applyAlignment="1" applyProtection="1">
      <alignment horizontal="center" vertical="center"/>
      <protection locked="0"/>
    </xf>
    <xf numFmtId="43" fontId="27" fillId="0" borderId="7" xfId="58" applyFont="1" applyFill="1" applyBorder="1" applyAlignment="1">
      <alignment horizontal="center" vertical="center"/>
    </xf>
    <xf numFmtId="169" fontId="27" fillId="0" borderId="7" xfId="58" applyNumberFormat="1" applyFont="1" applyFill="1" applyBorder="1" applyAlignment="1" applyProtection="1">
      <alignment horizontal="center" vertical="center"/>
      <protection locked="0"/>
    </xf>
    <xf numFmtId="169" fontId="17" fillId="0" borderId="33" xfId="58" applyNumberFormat="1" applyFont="1" applyFill="1" applyBorder="1" applyAlignment="1" applyProtection="1">
      <alignment horizontal="center" vertical="center"/>
      <protection locked="0"/>
    </xf>
    <xf numFmtId="0" fontId="27" fillId="0" borderId="7" xfId="86" quotePrefix="1" applyFont="1" applyFill="1" applyBorder="1" applyAlignment="1">
      <alignment horizontal="left" vertical="top" wrapText="1"/>
    </xf>
    <xf numFmtId="175" fontId="27" fillId="0" borderId="7" xfId="87" applyNumberFormat="1" applyFont="1" applyFill="1" applyBorder="1" applyAlignment="1" applyProtection="1">
      <alignment horizontal="center" vertical="center"/>
      <protection locked="0"/>
    </xf>
    <xf numFmtId="169" fontId="27" fillId="0" borderId="7" xfId="58" applyNumberFormat="1" applyFont="1" applyFill="1" applyBorder="1" applyAlignment="1" applyProtection="1">
      <alignment vertical="center"/>
      <protection locked="0"/>
    </xf>
    <xf numFmtId="169" fontId="17" fillId="0" borderId="33" xfId="58" applyNumberFormat="1" applyFont="1" applyFill="1" applyBorder="1" applyAlignment="1" applyProtection="1">
      <alignment vertical="center"/>
      <protection locked="0"/>
    </xf>
    <xf numFmtId="4" fontId="17" fillId="0" borderId="12" xfId="1" applyNumberFormat="1" applyFont="1" applyBorder="1" applyAlignment="1">
      <alignment horizontal="right"/>
    </xf>
    <xf numFmtId="4" fontId="17" fillId="0" borderId="18" xfId="1" applyNumberFormat="1" applyFont="1" applyBorder="1" applyAlignment="1">
      <alignment vertical="top"/>
    </xf>
    <xf numFmtId="3" fontId="18" fillId="0" borderId="10" xfId="0" applyNumberFormat="1" applyFont="1" applyBorder="1" applyAlignment="1">
      <alignment horizontal="center" vertical="top" wrapText="1"/>
    </xf>
    <xf numFmtId="0" fontId="34" fillId="0" borderId="7" xfId="86" applyFont="1" applyFill="1" applyBorder="1" applyAlignment="1">
      <alignment horizontal="left" wrapText="1"/>
    </xf>
    <xf numFmtId="0" fontId="23" fillId="0" borderId="7" xfId="0" applyFont="1" applyBorder="1" applyAlignment="1">
      <alignment wrapText="1"/>
    </xf>
    <xf numFmtId="0" fontId="43" fillId="0" borderId="7" xfId="0" applyFont="1" applyBorder="1" applyAlignment="1">
      <alignment wrapText="1"/>
    </xf>
    <xf numFmtId="0" fontId="33" fillId="0" borderId="7" xfId="0" applyFont="1" applyBorder="1" applyAlignment="1">
      <alignment wrapText="1"/>
    </xf>
    <xf numFmtId="4" fontId="17" fillId="0" borderId="36" xfId="1" applyNumberFormat="1" applyFont="1" applyBorder="1" applyAlignment="1">
      <alignment horizontal="right"/>
    </xf>
    <xf numFmtId="0" fontId="17" fillId="0" borderId="34" xfId="86" quotePrefix="1" applyFont="1" applyFill="1" applyBorder="1" applyAlignment="1">
      <alignment horizontal="center" vertical="top"/>
    </xf>
    <xf numFmtId="0" fontId="22" fillId="0" borderId="7" xfId="86" applyFont="1" applyFill="1" applyBorder="1" applyAlignment="1">
      <alignment horizontal="left" wrapText="1"/>
    </xf>
    <xf numFmtId="175" fontId="17" fillId="0" borderId="7" xfId="86" applyNumberFormat="1" applyFont="1" applyFill="1" applyBorder="1" applyAlignment="1" applyProtection="1">
      <alignment horizontal="center" vertical="center"/>
      <protection locked="0"/>
    </xf>
    <xf numFmtId="43" fontId="17" fillId="0" borderId="7" xfId="58" applyFont="1" applyFill="1" applyBorder="1" applyAlignment="1">
      <alignment horizontal="center" vertical="center"/>
    </xf>
    <xf numFmtId="169" fontId="17" fillId="0" borderId="7" xfId="58" applyNumberFormat="1" applyFont="1" applyFill="1" applyBorder="1" applyAlignment="1" applyProtection="1">
      <alignment horizontal="center" vertical="center"/>
      <protection locked="0"/>
    </xf>
    <xf numFmtId="169" fontId="17" fillId="0" borderId="33" xfId="58" applyNumberFormat="1" applyFont="1" applyFill="1" applyBorder="1" applyAlignment="1" applyProtection="1">
      <alignment horizontal="right" vertical="center"/>
      <protection locked="0"/>
    </xf>
    <xf numFmtId="0" fontId="17" fillId="0" borderId="34" xfId="86" applyFont="1" applyFill="1" applyBorder="1" applyAlignment="1">
      <alignment horizontal="center" vertical="top"/>
    </xf>
    <xf numFmtId="175" fontId="17" fillId="0" borderId="7" xfId="87" applyNumberFormat="1" applyFont="1" applyFill="1" applyBorder="1" applyAlignment="1" applyProtection="1">
      <alignment horizontal="center" vertical="center"/>
      <protection locked="0"/>
    </xf>
    <xf numFmtId="169" fontId="17" fillId="0" borderId="7" xfId="58" applyNumberFormat="1" applyFont="1" applyFill="1" applyBorder="1" applyAlignment="1" applyProtection="1">
      <alignment vertical="center"/>
      <protection locked="0"/>
    </xf>
    <xf numFmtId="0" fontId="23" fillId="0" borderId="7" xfId="86" applyFont="1" applyFill="1" applyBorder="1" applyAlignment="1">
      <alignment vertical="top" wrapText="1"/>
    </xf>
    <xf numFmtId="0" fontId="17" fillId="0" borderId="7" xfId="86" applyFont="1" applyFill="1" applyBorder="1" applyAlignment="1">
      <alignment horizontal="left" vertical="top" wrapText="1"/>
    </xf>
    <xf numFmtId="0" fontId="23" fillId="0" borderId="7" xfId="86" applyFont="1" applyFill="1" applyBorder="1" applyAlignment="1">
      <alignment horizontal="left" wrapText="1"/>
    </xf>
    <xf numFmtId="0" fontId="17" fillId="0" borderId="7" xfId="86" applyFont="1" applyFill="1" applyBorder="1" applyAlignment="1">
      <alignment horizontal="left" vertical="center" wrapText="1"/>
    </xf>
    <xf numFmtId="0" fontId="17" fillId="0" borderId="7" xfId="86" applyFont="1" applyFill="1" applyBorder="1" applyAlignment="1">
      <alignment wrapText="1"/>
    </xf>
    <xf numFmtId="169" fontId="17" fillId="0" borderId="33" xfId="58" applyNumberFormat="1" applyFont="1" applyFill="1" applyBorder="1" applyAlignment="1" applyProtection="1">
      <alignment horizontal="left" vertical="center"/>
      <protection locked="0"/>
    </xf>
    <xf numFmtId="0" fontId="20" fillId="0" borderId="34" xfId="11" applyFont="1" applyFill="1" applyBorder="1" applyAlignment="1">
      <alignment horizontal="center" vertical="top"/>
    </xf>
    <xf numFmtId="0" fontId="17" fillId="0" borderId="7" xfId="11" applyFont="1" applyFill="1" applyBorder="1" applyAlignment="1">
      <alignment horizontal="left" vertical="top" wrapText="1"/>
    </xf>
    <xf numFmtId="175" fontId="17" fillId="0" borderId="7" xfId="88" applyNumberFormat="1" applyFont="1" applyFill="1" applyBorder="1" applyAlignment="1" applyProtection="1">
      <alignment horizontal="center" vertical="center"/>
      <protection locked="0"/>
    </xf>
    <xf numFmtId="0" fontId="17" fillId="0" borderId="0" xfId="0" applyFont="1" applyAlignment="1">
      <alignment horizontal="center" vertical="top" wrapText="1"/>
    </xf>
    <xf numFmtId="4" fontId="17" fillId="0" borderId="0" xfId="1" applyNumberFormat="1" applyFont="1" applyAlignment="1">
      <alignment vertical="top"/>
    </xf>
    <xf numFmtId="0" fontId="17" fillId="0" borderId="7" xfId="86" applyFont="1" applyFill="1" applyBorder="1" applyAlignment="1">
      <alignment horizontal="left" wrapText="1"/>
    </xf>
    <xf numFmtId="0" fontId="18" fillId="0" borderId="2" xfId="15" applyFont="1" applyFill="1" applyBorder="1" applyAlignment="1">
      <alignment horizontal="center" vertical="top"/>
    </xf>
    <xf numFmtId="0" fontId="18" fillId="0" borderId="1" xfId="15" quotePrefix="1" applyFont="1" applyFill="1" applyBorder="1" applyAlignment="1">
      <alignment vertical="center" wrapText="1"/>
    </xf>
    <xf numFmtId="0" fontId="17" fillId="0" borderId="1" xfId="13" applyFont="1" applyFill="1" applyBorder="1" applyAlignment="1">
      <alignment horizontal="center" vertical="center" wrapText="1"/>
    </xf>
    <xf numFmtId="43" fontId="17" fillId="0" borderId="19" xfId="1" applyFont="1" applyFill="1" applyBorder="1" applyAlignment="1">
      <alignment vertical="center"/>
    </xf>
    <xf numFmtId="0" fontId="17" fillId="0" borderId="2" xfId="60" applyFont="1" applyFill="1" applyBorder="1" applyAlignment="1">
      <alignment horizontal="center" vertical="center"/>
    </xf>
    <xf numFmtId="0" fontId="17" fillId="0" borderId="7" xfId="0" applyFont="1" applyFill="1" applyBorder="1" applyAlignment="1">
      <alignment wrapText="1"/>
    </xf>
    <xf numFmtId="0" fontId="17" fillId="0" borderId="7" xfId="60" applyFont="1" applyFill="1" applyBorder="1" applyAlignment="1">
      <alignment horizontal="center" vertical="center"/>
    </xf>
    <xf numFmtId="3" fontId="17" fillId="0" borderId="7" xfId="60" applyNumberFormat="1" applyFont="1" applyFill="1" applyBorder="1" applyAlignment="1">
      <alignment horizontal="center" vertical="center"/>
    </xf>
    <xf numFmtId="4" fontId="17" fillId="0" borderId="12" xfId="58" applyNumberFormat="1" applyFont="1" applyFill="1" applyBorder="1" applyAlignment="1">
      <alignment vertical="center"/>
    </xf>
    <xf numFmtId="0" fontId="17" fillId="0" borderId="1" xfId="15" applyFont="1" applyFill="1" applyBorder="1" applyAlignment="1">
      <alignment horizontal="center" vertical="center"/>
    </xf>
    <xf numFmtId="4" fontId="17" fillId="0" borderId="12" xfId="1" applyNumberFormat="1" applyFont="1" applyFill="1" applyBorder="1" applyAlignment="1"/>
    <xf numFmtId="0" fontId="17" fillId="0" borderId="7" xfId="86" applyFont="1" applyFill="1" applyBorder="1" applyAlignment="1">
      <alignment horizontal="justify" vertical="top" wrapText="1"/>
    </xf>
    <xf numFmtId="0" fontId="17" fillId="0" borderId="2" xfId="15" applyFont="1" applyFill="1" applyBorder="1" applyAlignment="1">
      <alignment horizontal="centerContinuous" vertical="center"/>
    </xf>
    <xf numFmtId="0" fontId="33" fillId="0" borderId="7" xfId="0" applyFont="1" applyFill="1" applyBorder="1" applyAlignment="1">
      <alignment wrapText="1"/>
    </xf>
    <xf numFmtId="169" fontId="17" fillId="0" borderId="1" xfId="1" applyNumberFormat="1" applyFont="1" applyFill="1" applyBorder="1" applyAlignment="1">
      <alignment vertical="center"/>
    </xf>
    <xf numFmtId="0" fontId="17" fillId="0" borderId="1" xfId="15" applyFont="1" applyFill="1" applyBorder="1" applyAlignment="1">
      <alignment vertical="center" wrapText="1"/>
    </xf>
    <xf numFmtId="0" fontId="17" fillId="0" borderId="2" xfId="0" applyFont="1" applyFill="1" applyBorder="1" applyAlignment="1">
      <alignment horizontal="left" vertical="center"/>
    </xf>
    <xf numFmtId="0" fontId="17" fillId="0" borderId="2" xfId="15" applyFont="1" applyFill="1" applyBorder="1" applyAlignment="1">
      <alignment horizontal="center" vertical="center"/>
    </xf>
    <xf numFmtId="0" fontId="17" fillId="0" borderId="1" xfId="0" applyNumberFormat="1" applyFont="1" applyFill="1" applyBorder="1" applyAlignment="1">
      <alignment vertical="top" wrapText="1"/>
    </xf>
    <xf numFmtId="0" fontId="17" fillId="0" borderId="7" xfId="0" applyNumberFormat="1" applyFont="1" applyFill="1" applyBorder="1" applyAlignment="1">
      <alignment horizontal="center" vertical="top"/>
    </xf>
    <xf numFmtId="3" fontId="17" fillId="0" borderId="7" xfId="4" applyNumberFormat="1" applyFont="1" applyFill="1" applyBorder="1" applyAlignment="1">
      <alignment horizontal="center" vertical="center"/>
    </xf>
    <xf numFmtId="4" fontId="17" fillId="0" borderId="12" xfId="1" applyNumberFormat="1" applyFont="1" applyBorder="1" applyAlignment="1">
      <alignment horizontal="right" vertical="top"/>
    </xf>
    <xf numFmtId="0" fontId="43" fillId="0" borderId="1" xfId="0" applyNumberFormat="1" applyFont="1" applyBorder="1" applyAlignment="1">
      <alignment vertical="top" wrapText="1"/>
    </xf>
    <xf numFmtId="175" fontId="17" fillId="0" borderId="7" xfId="86" applyNumberFormat="1" applyFont="1" applyFill="1" applyBorder="1" applyAlignment="1">
      <alignment horizontal="center" vertical="center"/>
    </xf>
    <xf numFmtId="0" fontId="17" fillId="0" borderId="2" xfId="0" applyFont="1" applyBorder="1" applyAlignment="1">
      <alignment horizontal="left" vertical="top"/>
    </xf>
    <xf numFmtId="3" fontId="17" fillId="0" borderId="7" xfId="4" applyNumberFormat="1" applyFont="1" applyBorder="1" applyAlignment="1">
      <alignment horizontal="center" vertical="top"/>
    </xf>
    <xf numFmtId="3" fontId="17" fillId="0" borderId="7" xfId="0" applyNumberFormat="1" applyFont="1" applyBorder="1" applyAlignment="1">
      <alignment horizontal="right" vertical="top" wrapText="1"/>
    </xf>
    <xf numFmtId="3" fontId="17" fillId="0" borderId="7" xfId="1" applyNumberFormat="1" applyFont="1" applyBorder="1" applyAlignment="1">
      <alignment horizontal="right" vertical="top" wrapText="1"/>
    </xf>
    <xf numFmtId="43" fontId="39" fillId="0" borderId="1" xfId="58" applyFont="1" applyFill="1" applyBorder="1" applyAlignment="1" applyProtection="1">
      <alignment horizontal="center" vertical="center"/>
      <protection locked="0"/>
    </xf>
    <xf numFmtId="43" fontId="39" fillId="0" borderId="33" xfId="58" applyFont="1" applyFill="1" applyBorder="1" applyAlignment="1" applyProtection="1">
      <alignment horizontal="center" vertical="center"/>
      <protection locked="0"/>
    </xf>
    <xf numFmtId="43" fontId="39" fillId="0" borderId="7" xfId="58" applyFont="1" applyFill="1" applyBorder="1" applyAlignment="1" applyProtection="1">
      <alignment horizontal="center" vertical="center"/>
      <protection locked="0"/>
    </xf>
    <xf numFmtId="43" fontId="39" fillId="0" borderId="7" xfId="58" applyFont="1" applyFill="1" applyBorder="1" applyAlignment="1" applyProtection="1">
      <alignment vertical="center"/>
      <protection locked="0"/>
    </xf>
    <xf numFmtId="43" fontId="39" fillId="0" borderId="33" xfId="58" applyFont="1" applyFill="1" applyBorder="1" applyAlignment="1" applyProtection="1">
      <alignment vertical="center"/>
      <protection locked="0"/>
    </xf>
    <xf numFmtId="176" fontId="39" fillId="0" borderId="7" xfId="58" applyNumberFormat="1" applyFont="1" applyFill="1" applyBorder="1" applyAlignment="1" applyProtection="1">
      <alignment vertical="center"/>
      <protection locked="0"/>
    </xf>
    <xf numFmtId="0" fontId="40" fillId="0" borderId="0" xfId="60" applyFont="1" applyFill="1"/>
    <xf numFmtId="43" fontId="17" fillId="0" borderId="1" xfId="58" applyFont="1" applyFill="1" applyBorder="1" applyAlignment="1" applyProtection="1">
      <alignment horizontal="center" vertical="center"/>
      <protection locked="0"/>
    </xf>
    <xf numFmtId="43" fontId="17" fillId="0" borderId="33" xfId="58" applyFont="1" applyFill="1" applyBorder="1" applyAlignment="1" applyProtection="1">
      <alignment horizontal="center" vertical="center"/>
      <protection locked="0"/>
    </xf>
    <xf numFmtId="43" fontId="17" fillId="0" borderId="7" xfId="58" applyFont="1" applyFill="1" applyBorder="1" applyAlignment="1" applyProtection="1">
      <alignment horizontal="center" vertical="center"/>
      <protection locked="0"/>
    </xf>
    <xf numFmtId="43" fontId="17" fillId="0" borderId="7" xfId="58" applyFont="1" applyFill="1" applyBorder="1" applyAlignment="1" applyProtection="1">
      <alignment vertical="center"/>
      <protection locked="0"/>
    </xf>
    <xf numFmtId="43" fontId="17" fillId="0" borderId="33" xfId="58" applyFont="1" applyFill="1" applyBorder="1" applyAlignment="1" applyProtection="1">
      <alignment vertical="center"/>
      <protection locked="0"/>
    </xf>
    <xf numFmtId="176" fontId="17" fillId="0" borderId="7" xfId="58" applyNumberFormat="1" applyFont="1" applyFill="1" applyBorder="1" applyAlignment="1" applyProtection="1">
      <alignment vertical="center"/>
      <protection locked="0"/>
    </xf>
    <xf numFmtId="0" fontId="11" fillId="0" borderId="0" xfId="60" applyFill="1"/>
    <xf numFmtId="43" fontId="17" fillId="0" borderId="1" xfId="58" applyFont="1" applyFill="1" applyBorder="1" applyAlignment="1" applyProtection="1">
      <alignment vertical="center"/>
      <protection locked="0"/>
    </xf>
    <xf numFmtId="0" fontId="0" fillId="0" borderId="0" xfId="0" applyFill="1" applyBorder="1"/>
    <xf numFmtId="43" fontId="17" fillId="0" borderId="1" xfId="58" applyFont="1" applyFill="1" applyBorder="1" applyAlignment="1">
      <alignment horizontal="center" vertical="center"/>
    </xf>
    <xf numFmtId="0" fontId="20" fillId="0" borderId="0" xfId="0" applyFont="1" applyFill="1"/>
    <xf numFmtId="0" fontId="17" fillId="0" borderId="0" xfId="15" applyFont="1" applyFill="1" applyBorder="1" applyAlignment="1">
      <alignment vertical="center"/>
    </xf>
    <xf numFmtId="0" fontId="17" fillId="0" borderId="0" xfId="60" applyFont="1" applyFill="1" applyBorder="1"/>
    <xf numFmtId="0" fontId="39" fillId="0" borderId="0" xfId="0" applyFont="1" applyFill="1" applyBorder="1"/>
    <xf numFmtId="0" fontId="17" fillId="0" borderId="0" xfId="0" applyFont="1" applyFill="1" applyBorder="1"/>
    <xf numFmtId="0" fontId="43" fillId="0" borderId="1" xfId="0" applyNumberFormat="1" applyFont="1" applyBorder="1" applyAlignment="1">
      <alignment horizontal="left" vertical="top" wrapText="1"/>
    </xf>
    <xf numFmtId="4" fontId="32" fillId="0" borderId="20" xfId="89" applyNumberFormat="1" applyFont="1" applyBorder="1" applyAlignment="1">
      <alignment vertical="top"/>
    </xf>
    <xf numFmtId="170" fontId="18" fillId="0" borderId="5" xfId="89" applyNumberFormat="1" applyFont="1" applyBorder="1" applyAlignment="1">
      <alignment horizontal="center" vertical="center"/>
    </xf>
    <xf numFmtId="170" fontId="27" fillId="0" borderId="5" xfId="89" applyNumberFormat="1" applyFont="1" applyBorder="1" applyAlignment="1">
      <alignment vertical="top" wrapText="1"/>
    </xf>
    <xf numFmtId="170" fontId="27" fillId="0" borderId="18" xfId="89" applyNumberFormat="1" applyFont="1" applyBorder="1" applyAlignment="1">
      <alignment vertical="top" wrapText="1"/>
    </xf>
    <xf numFmtId="4" fontId="27" fillId="0" borderId="37" xfId="89" applyNumberFormat="1" applyFont="1" applyBorder="1" applyAlignment="1">
      <alignment vertical="top" wrapText="1"/>
    </xf>
    <xf numFmtId="170" fontId="18" fillId="0" borderId="0" xfId="89" applyNumberFormat="1" applyFont="1" applyBorder="1" applyAlignment="1">
      <alignment horizontal="center" vertical="center"/>
    </xf>
    <xf numFmtId="170" fontId="27" fillId="0" borderId="0" xfId="89" applyNumberFormat="1" applyFont="1" applyBorder="1" applyAlignment="1">
      <alignment vertical="top" wrapText="1"/>
    </xf>
    <xf numFmtId="170" fontId="27" fillId="0" borderId="19" xfId="89" applyNumberFormat="1" applyFont="1" applyBorder="1" applyAlignment="1">
      <alignment vertical="top" wrapText="1"/>
    </xf>
    <xf numFmtId="4" fontId="27" fillId="0" borderId="2" xfId="89" applyNumberFormat="1" applyFont="1" applyBorder="1" applyAlignment="1">
      <alignment vertical="top" wrapText="1"/>
    </xf>
    <xf numFmtId="170" fontId="27" fillId="0" borderId="1" xfId="89" applyNumberFormat="1" applyFont="1" applyBorder="1" applyAlignment="1">
      <alignment vertical="top" wrapText="1"/>
    </xf>
    <xf numFmtId="170" fontId="27" fillId="0" borderId="7" xfId="89" applyNumberFormat="1" applyFont="1" applyBorder="1" applyAlignment="1">
      <alignment vertical="top" wrapText="1"/>
    </xf>
    <xf numFmtId="170" fontId="27" fillId="0" borderId="12" xfId="89" applyNumberFormat="1" applyFont="1" applyBorder="1" applyAlignment="1">
      <alignment vertical="top" wrapText="1"/>
    </xf>
    <xf numFmtId="0" fontId="23" fillId="0" borderId="7" xfId="90" applyFont="1" applyBorder="1" applyAlignment="1">
      <alignment vertical="top" wrapText="1"/>
    </xf>
    <xf numFmtId="0" fontId="23" fillId="0" borderId="1" xfId="90" applyFont="1" applyBorder="1" applyAlignment="1">
      <alignment vertical="top" wrapText="1"/>
    </xf>
    <xf numFmtId="170" fontId="42" fillId="0" borderId="7" xfId="89" applyNumberFormat="1" applyFont="1" applyBorder="1" applyAlignment="1">
      <alignment vertical="top" wrapText="1"/>
    </xf>
    <xf numFmtId="0" fontId="17" fillId="0" borderId="7" xfId="90" applyFont="1" applyBorder="1" applyAlignment="1">
      <alignment vertical="top" wrapText="1"/>
    </xf>
    <xf numFmtId="0" fontId="17" fillId="0" borderId="37" xfId="0" applyFont="1" applyBorder="1" applyAlignment="1">
      <alignment horizontal="center" vertical="top" wrapText="1"/>
    </xf>
    <xf numFmtId="170" fontId="32" fillId="0" borderId="7" xfId="89" applyNumberFormat="1" applyFont="1" applyBorder="1" applyAlignment="1">
      <alignment vertical="top"/>
    </xf>
    <xf numFmtId="0" fontId="17" fillId="3" borderId="0" xfId="0" applyFont="1" applyFill="1" applyBorder="1"/>
    <xf numFmtId="170" fontId="39" fillId="0" borderId="7" xfId="89" applyNumberFormat="1" applyFont="1" applyBorder="1" applyAlignment="1">
      <alignment vertical="top" wrapText="1"/>
    </xf>
    <xf numFmtId="0" fontId="39" fillId="0" borderId="7" xfId="90" applyFont="1" applyBorder="1" applyAlignment="1">
      <alignment vertical="top" wrapText="1"/>
    </xf>
    <xf numFmtId="4" fontId="17" fillId="0" borderId="2" xfId="89" applyNumberFormat="1" applyFont="1" applyBorder="1" applyAlignment="1">
      <alignment vertical="top" wrapText="1"/>
    </xf>
    <xf numFmtId="170" fontId="17" fillId="0" borderId="7" xfId="89" applyNumberFormat="1" applyFont="1" applyBorder="1" applyAlignment="1">
      <alignment vertical="top" wrapText="1"/>
    </xf>
    <xf numFmtId="4" fontId="39" fillId="0" borderId="2" xfId="89" applyNumberFormat="1" applyFont="1" applyBorder="1" applyAlignment="1">
      <alignment vertical="top" wrapText="1"/>
    </xf>
    <xf numFmtId="170" fontId="18" fillId="0" borderId="7" xfId="89" applyNumberFormat="1" applyFont="1" applyBorder="1" applyAlignment="1">
      <alignment vertical="top" wrapText="1"/>
    </xf>
    <xf numFmtId="0" fontId="17" fillId="0" borderId="0" xfId="90" applyFont="1" applyFill="1" applyBorder="1"/>
    <xf numFmtId="4" fontId="17" fillId="0" borderId="42" xfId="89" applyNumberFormat="1" applyFont="1" applyBorder="1" applyAlignment="1">
      <alignment vertical="top" wrapText="1"/>
    </xf>
    <xf numFmtId="170" fontId="27" fillId="0" borderId="43" xfId="89" applyNumberFormat="1" applyFont="1" applyBorder="1" applyAlignment="1">
      <alignment vertical="top" wrapText="1"/>
    </xf>
    <xf numFmtId="170" fontId="32" fillId="0" borderId="7" xfId="89" applyNumberFormat="1" applyFont="1" applyBorder="1" applyAlignment="1">
      <alignment vertical="top" wrapText="1"/>
    </xf>
    <xf numFmtId="170" fontId="17" fillId="2" borderId="7" xfId="89" applyNumberFormat="1" applyFont="1" applyFill="1" applyBorder="1" applyAlignment="1">
      <alignment vertical="top" wrapText="1"/>
    </xf>
    <xf numFmtId="0" fontId="17" fillId="0" borderId="1" xfId="0" applyNumberFormat="1" applyFont="1" applyBorder="1" applyAlignment="1">
      <alignment horizontal="center" vertical="top"/>
    </xf>
    <xf numFmtId="0" fontId="17" fillId="0" borderId="2" xfId="86" applyFont="1" applyFill="1" applyBorder="1" applyAlignment="1">
      <alignment horizontal="center" vertical="top"/>
    </xf>
    <xf numFmtId="43" fontId="17" fillId="0" borderId="7" xfId="1" applyFont="1" applyFill="1" applyBorder="1" applyAlignment="1">
      <alignment horizontal="center" vertical="center"/>
    </xf>
    <xf numFmtId="169" fontId="17" fillId="0" borderId="7" xfId="1" applyNumberFormat="1" applyFont="1" applyFill="1" applyBorder="1" applyAlignment="1" applyProtection="1">
      <alignment vertical="center"/>
      <protection locked="0"/>
    </xf>
    <xf numFmtId="169" fontId="17" fillId="0" borderId="12" xfId="1" applyNumberFormat="1" applyFont="1" applyFill="1" applyBorder="1" applyAlignment="1" applyProtection="1">
      <alignment vertical="center"/>
      <protection locked="0"/>
    </xf>
    <xf numFmtId="43" fontId="17" fillId="0" borderId="1" xfId="1" applyFont="1" applyFill="1" applyBorder="1" applyAlignment="1" applyProtection="1">
      <alignment vertical="center"/>
      <protection locked="0"/>
    </xf>
    <xf numFmtId="43" fontId="17" fillId="0" borderId="33" xfId="1" applyFont="1" applyFill="1" applyBorder="1" applyAlignment="1" applyProtection="1">
      <alignment vertical="center"/>
      <protection locked="0"/>
    </xf>
    <xf numFmtId="43" fontId="17" fillId="0" borderId="7" xfId="1" applyFont="1" applyFill="1" applyBorder="1" applyAlignment="1" applyProtection="1">
      <alignment vertical="center"/>
      <protection locked="0"/>
    </xf>
    <xf numFmtId="43" fontId="17" fillId="0" borderId="33" xfId="1" applyFont="1" applyFill="1" applyBorder="1" applyAlignment="1" applyProtection="1">
      <alignment horizontal="center" vertical="center"/>
      <protection locked="0"/>
    </xf>
    <xf numFmtId="43" fontId="17" fillId="0" borderId="7" xfId="1" applyFont="1" applyFill="1" applyBorder="1" applyAlignment="1" applyProtection="1">
      <alignment horizontal="center" vertical="center"/>
      <protection locked="0"/>
    </xf>
    <xf numFmtId="176" fontId="17" fillId="0" borderId="7" xfId="1" applyNumberFormat="1" applyFont="1" applyFill="1" applyBorder="1" applyAlignment="1" applyProtection="1">
      <alignment vertical="center"/>
      <protection locked="0"/>
    </xf>
    <xf numFmtId="169" fontId="17" fillId="0" borderId="12" xfId="1" applyNumberFormat="1" applyFont="1" applyFill="1" applyBorder="1" applyAlignment="1" applyProtection="1">
      <alignment horizontal="right" vertical="center"/>
      <protection locked="0"/>
    </xf>
    <xf numFmtId="0" fontId="17" fillId="0" borderId="1" xfId="0" applyFont="1" applyFill="1" applyBorder="1" applyAlignment="1">
      <alignment wrapText="1"/>
    </xf>
    <xf numFmtId="0" fontId="25" fillId="0" borderId="1" xfId="0" applyNumberFormat="1" applyFont="1" applyBorder="1" applyAlignment="1">
      <alignment vertical="top" wrapText="1"/>
    </xf>
    <xf numFmtId="0" fontId="17" fillId="0" borderId="2" xfId="86" quotePrefix="1" applyFont="1" applyFill="1" applyBorder="1" applyAlignment="1">
      <alignment horizontal="center" vertical="top"/>
    </xf>
    <xf numFmtId="169" fontId="17" fillId="0" borderId="7" xfId="1" applyNumberFormat="1" applyFont="1" applyFill="1" applyBorder="1" applyAlignment="1" applyProtection="1">
      <alignment horizontal="center" vertical="center"/>
      <protection locked="0"/>
    </xf>
    <xf numFmtId="169" fontId="17" fillId="0" borderId="12" xfId="1" applyNumberFormat="1" applyFont="1" applyFill="1" applyBorder="1" applyAlignment="1" applyProtection="1">
      <alignment horizontal="center" vertical="center"/>
      <protection locked="0"/>
    </xf>
    <xf numFmtId="43" fontId="17" fillId="0" borderId="7" xfId="58" applyNumberFormat="1" applyFont="1" applyFill="1" applyBorder="1" applyAlignment="1">
      <alignment horizontal="center" vertical="center"/>
    </xf>
    <xf numFmtId="4" fontId="27" fillId="0" borderId="0" xfId="89" applyNumberFormat="1" applyFont="1" applyAlignment="1">
      <alignment vertical="top" wrapText="1"/>
    </xf>
    <xf numFmtId="170" fontId="27" fillId="0" borderId="0" xfId="89" applyNumberFormat="1" applyFont="1" applyAlignment="1">
      <alignment vertical="top" wrapText="1"/>
    </xf>
    <xf numFmtId="3" fontId="17" fillId="0" borderId="0" xfId="1" applyNumberFormat="1" applyFont="1" applyBorder="1"/>
    <xf numFmtId="169" fontId="17" fillId="0" borderId="0" xfId="1" applyNumberFormat="1" applyFont="1" applyBorder="1" applyAlignment="1">
      <alignment horizontal="right"/>
    </xf>
    <xf numFmtId="169" fontId="17" fillId="0" borderId="0" xfId="1" applyNumberFormat="1" applyFont="1" applyBorder="1" applyAlignment="1">
      <alignment horizontal="center"/>
    </xf>
    <xf numFmtId="169" fontId="18" fillId="0" borderId="10" xfId="1" applyNumberFormat="1" applyFont="1" applyBorder="1" applyAlignment="1">
      <alignment horizontal="right" vertical="top" wrapText="1"/>
    </xf>
    <xf numFmtId="3" fontId="18" fillId="0" borderId="14" xfId="1" applyNumberFormat="1" applyFont="1" applyBorder="1" applyAlignment="1">
      <alignment horizontal="center" vertical="top" wrapText="1"/>
    </xf>
    <xf numFmtId="169" fontId="17" fillId="0" borderId="7" xfId="1" applyNumberFormat="1" applyFont="1" applyBorder="1" applyAlignment="1">
      <alignment horizontal="right" vertical="top"/>
    </xf>
    <xf numFmtId="169" fontId="17" fillId="0" borderId="7" xfId="1" applyNumberFormat="1" applyFont="1" applyFill="1" applyBorder="1" applyAlignment="1">
      <alignment vertical="top"/>
    </xf>
    <xf numFmtId="3" fontId="17" fillId="0" borderId="12" xfId="1" applyNumberFormat="1" applyFont="1" applyFill="1" applyBorder="1" applyAlignment="1">
      <alignment vertical="top"/>
    </xf>
    <xf numFmtId="49" fontId="18" fillId="0" borderId="2" xfId="90" applyNumberFormat="1" applyFont="1" applyBorder="1" applyAlignment="1">
      <alignment horizontal="center" vertical="top" wrapText="1"/>
    </xf>
    <xf numFmtId="0" fontId="18" fillId="0" borderId="7" xfId="90" applyFont="1" applyFill="1" applyBorder="1" applyAlignment="1">
      <alignment horizontal="left" vertical="top" wrapText="1"/>
    </xf>
    <xf numFmtId="0" fontId="17" fillId="0" borderId="7" xfId="90" applyFont="1" applyBorder="1" applyAlignment="1">
      <alignment horizontal="center" vertical="top"/>
    </xf>
    <xf numFmtId="169" fontId="17" fillId="0" borderId="7" xfId="1" applyNumberFormat="1" applyFont="1" applyBorder="1" applyAlignment="1">
      <alignment horizontal="center" vertical="top"/>
    </xf>
    <xf numFmtId="0" fontId="33" fillId="0" borderId="7" xfId="90" applyFont="1" applyFill="1" applyBorder="1" applyAlignment="1">
      <alignment horizontal="left" vertical="top" wrapText="1"/>
    </xf>
    <xf numFmtId="49" fontId="18" fillId="0" borderId="2" xfId="90" applyNumberFormat="1" applyFont="1" applyFill="1" applyBorder="1" applyAlignment="1">
      <alignment horizontal="center" vertical="top" wrapText="1"/>
    </xf>
    <xf numFmtId="0" fontId="41" fillId="0" borderId="7" xfId="90" applyFont="1" applyFill="1" applyBorder="1" applyAlignment="1">
      <alignment horizontal="right" vertical="top" wrapText="1"/>
    </xf>
    <xf numFmtId="0" fontId="48" fillId="0" borderId="7" xfId="90" applyFont="1" applyBorder="1" applyAlignment="1">
      <alignment horizontal="center" vertical="top"/>
    </xf>
    <xf numFmtId="0" fontId="22" fillId="0" borderId="7" xfId="90" applyFont="1" applyBorder="1" applyAlignment="1">
      <alignment horizontal="left" vertical="top" wrapText="1"/>
    </xf>
    <xf numFmtId="3" fontId="17" fillId="0" borderId="12" xfId="1" applyNumberFormat="1" applyFont="1" applyBorder="1" applyAlignment="1">
      <alignment vertical="top"/>
    </xf>
    <xf numFmtId="49" fontId="48" fillId="0" borderId="2" xfId="90" applyNumberFormat="1" applyFont="1" applyFill="1" applyBorder="1" applyAlignment="1">
      <alignment horizontal="center" vertical="top" wrapText="1"/>
    </xf>
    <xf numFmtId="0" fontId="17" fillId="0" borderId="7" xfId="90" applyFont="1" applyFill="1" applyBorder="1" applyAlignment="1">
      <alignment horizontal="left" vertical="top" wrapText="1"/>
    </xf>
    <xf numFmtId="0" fontId="33" fillId="0" borderId="7" xfId="90" applyFont="1" applyBorder="1" applyAlignment="1">
      <alignment horizontal="left" vertical="top" wrapText="1"/>
    </xf>
    <xf numFmtId="49" fontId="17" fillId="0" borderId="2" xfId="90" applyNumberFormat="1" applyFont="1" applyBorder="1" applyAlignment="1">
      <alignment horizontal="center" vertical="top" wrapText="1"/>
    </xf>
    <xf numFmtId="0" fontId="41" fillId="0" borderId="7" xfId="90" applyFont="1" applyFill="1" applyBorder="1" applyAlignment="1">
      <alignment horizontal="left" vertical="top" wrapText="1"/>
    </xf>
    <xf numFmtId="0" fontId="17" fillId="0" borderId="7" xfId="90" applyFont="1" applyFill="1" applyBorder="1" applyAlignment="1">
      <alignment horizontal="center" vertical="top"/>
    </xf>
    <xf numFmtId="169" fontId="17" fillId="0" borderId="0" xfId="1" applyNumberFormat="1" applyFont="1" applyFill="1" applyBorder="1"/>
    <xf numFmtId="3" fontId="17" fillId="0" borderId="0" xfId="0" applyNumberFormat="1" applyFont="1" applyBorder="1"/>
    <xf numFmtId="0" fontId="22" fillId="0" borderId="7" xfId="90" applyFont="1" applyFill="1" applyBorder="1" applyAlignment="1">
      <alignment horizontal="left" vertical="top" wrapText="1"/>
    </xf>
    <xf numFmtId="0" fontId="17" fillId="0" borderId="7" xfId="90" applyFont="1" applyBorder="1" applyAlignment="1">
      <alignment horizontal="center" vertical="top" wrapText="1"/>
    </xf>
    <xf numFmtId="169" fontId="17" fillId="0" borderId="7" xfId="1" applyNumberFormat="1" applyFont="1" applyBorder="1" applyAlignment="1">
      <alignment horizontal="center"/>
    </xf>
    <xf numFmtId="9" fontId="17" fillId="0" borderId="0" xfId="9" applyFont="1" applyBorder="1"/>
    <xf numFmtId="1" fontId="17" fillId="0" borderId="0" xfId="9" applyNumberFormat="1" applyFont="1" applyBorder="1"/>
    <xf numFmtId="0" fontId="17" fillId="0" borderId="0" xfId="15" applyFont="1" applyFill="1"/>
    <xf numFmtId="9" fontId="17" fillId="0" borderId="0" xfId="9" applyFont="1" applyFill="1"/>
    <xf numFmtId="169" fontId="17" fillId="0" borderId="0" xfId="1" applyNumberFormat="1" applyFont="1" applyFill="1"/>
    <xf numFmtId="1" fontId="17" fillId="0" borderId="0" xfId="9" applyNumberFormat="1" applyFont="1" applyFill="1"/>
    <xf numFmtId="0" fontId="41" fillId="0" borderId="0" xfId="90" applyFont="1" applyFill="1" applyBorder="1" applyAlignment="1">
      <alignment horizontal="left" vertical="top" wrapText="1"/>
    </xf>
    <xf numFmtId="49" fontId="17" fillId="0" borderId="22" xfId="90" applyNumberFormat="1" applyFont="1" applyBorder="1" applyAlignment="1">
      <alignment horizontal="center" vertical="top" wrapText="1"/>
    </xf>
    <xf numFmtId="0" fontId="49" fillId="0" borderId="0" xfId="0" applyFont="1"/>
    <xf numFmtId="169" fontId="39" fillId="0" borderId="7" xfId="1" applyNumberFormat="1" applyFont="1" applyBorder="1" applyAlignment="1">
      <alignment horizontal="left" vertical="top"/>
    </xf>
    <xf numFmtId="169" fontId="17" fillId="0" borderId="5" xfId="1" applyNumberFormat="1" applyFont="1" applyBorder="1" applyAlignment="1">
      <alignment horizontal="right" vertical="top"/>
    </xf>
    <xf numFmtId="169" fontId="17" fillId="0" borderId="11" xfId="1" applyNumberFormat="1" applyFont="1" applyFill="1" applyBorder="1" applyAlignment="1">
      <alignment vertical="top"/>
    </xf>
    <xf numFmtId="3" fontId="17" fillId="0" borderId="16" xfId="1" applyNumberFormat="1" applyFont="1" applyBorder="1" applyAlignment="1">
      <alignment vertical="top"/>
    </xf>
    <xf numFmtId="169" fontId="18" fillId="0" borderId="0" xfId="1" applyNumberFormat="1" applyFont="1" applyBorder="1" applyAlignment="1">
      <alignment horizontal="right" vertical="top"/>
    </xf>
    <xf numFmtId="169" fontId="18" fillId="0" borderId="1" xfId="1" applyNumberFormat="1" applyFont="1" applyFill="1" applyBorder="1" applyAlignment="1">
      <alignment vertical="top"/>
    </xf>
    <xf numFmtId="3" fontId="18" fillId="0" borderId="12" xfId="1" applyNumberFormat="1" applyFont="1" applyBorder="1" applyAlignment="1">
      <alignment vertical="top"/>
    </xf>
    <xf numFmtId="169" fontId="17" fillId="0" borderId="4" xfId="1" applyNumberFormat="1" applyFont="1" applyBorder="1" applyAlignment="1">
      <alignment horizontal="right" vertical="top"/>
    </xf>
    <xf numFmtId="169" fontId="17" fillId="0" borderId="6" xfId="1" applyNumberFormat="1" applyFont="1" applyFill="1" applyBorder="1" applyAlignment="1">
      <alignment vertical="top"/>
    </xf>
    <xf numFmtId="3" fontId="17" fillId="0" borderId="17" xfId="1" applyNumberFormat="1" applyFont="1" applyBorder="1" applyAlignment="1">
      <alignment vertical="top"/>
    </xf>
    <xf numFmtId="3" fontId="17" fillId="0" borderId="0" xfId="1" applyNumberFormat="1" applyFont="1" applyAlignment="1">
      <alignment vertical="top"/>
    </xf>
    <xf numFmtId="0" fontId="17" fillId="0" borderId="2" xfId="20" applyFont="1" applyFill="1" applyBorder="1" applyAlignment="1">
      <alignment horizontal="center" vertical="top" wrapText="1"/>
    </xf>
    <xf numFmtId="3" fontId="17" fillId="0" borderId="12" xfId="1" applyNumberFormat="1" applyFont="1" applyBorder="1" applyAlignment="1">
      <alignment horizontal="center"/>
    </xf>
    <xf numFmtId="0" fontId="50" fillId="0" borderId="7" xfId="90" applyFont="1" applyFill="1" applyBorder="1" applyAlignment="1">
      <alignment horizontal="left" vertical="top" wrapText="1"/>
    </xf>
    <xf numFmtId="0" fontId="17" fillId="3" borderId="0" xfId="15" applyFont="1" applyFill="1"/>
    <xf numFmtId="0" fontId="17" fillId="0" borderId="7" xfId="90" applyFont="1" applyFill="1" applyBorder="1" applyAlignment="1">
      <alignment horizontal="center" vertical="center"/>
    </xf>
    <xf numFmtId="169" fontId="17" fillId="0" borderId="7" xfId="1" applyNumberFormat="1" applyFont="1" applyBorder="1" applyAlignment="1">
      <alignment horizontal="center" vertical="center"/>
    </xf>
    <xf numFmtId="3" fontId="17" fillId="0" borderId="12" xfId="1" applyNumberFormat="1" applyFont="1" applyBorder="1" applyAlignment="1">
      <alignment vertical="center"/>
    </xf>
    <xf numFmtId="3" fontId="17" fillId="0" borderId="12" xfId="1" applyNumberFormat="1" applyFont="1" applyBorder="1" applyAlignment="1">
      <alignment horizontal="right"/>
    </xf>
    <xf numFmtId="0" fontId="17" fillId="0" borderId="7" xfId="90" applyFont="1" applyBorder="1" applyAlignment="1">
      <alignment horizontal="left" vertical="top" wrapText="1"/>
    </xf>
    <xf numFmtId="169" fontId="17" fillId="0" borderId="7" xfId="1" applyNumberFormat="1" applyFont="1" applyBorder="1" applyAlignment="1">
      <alignment horizontal="right"/>
    </xf>
    <xf numFmtId="169" fontId="17" fillId="0" borderId="7" xfId="1" applyNumberFormat="1" applyFont="1" applyBorder="1" applyAlignment="1">
      <alignment horizontal="right" vertical="top" wrapText="1"/>
    </xf>
    <xf numFmtId="3" fontId="17" fillId="0" borderId="12" xfId="1" applyNumberFormat="1" applyFont="1" applyBorder="1" applyAlignment="1">
      <alignment vertical="top" wrapText="1"/>
    </xf>
    <xf numFmtId="3" fontId="18" fillId="0" borderId="12" xfId="1" applyNumberFormat="1" applyFont="1" applyBorder="1" applyAlignment="1">
      <alignment vertical="top" wrapText="1"/>
    </xf>
    <xf numFmtId="169" fontId="17" fillId="0" borderId="0" xfId="1" applyNumberFormat="1" applyFont="1" applyFill="1" applyBorder="1" applyAlignment="1">
      <alignment vertical="center"/>
    </xf>
    <xf numFmtId="43" fontId="17" fillId="0" borderId="0" xfId="1" applyFont="1" applyFill="1" applyBorder="1" applyAlignment="1" applyProtection="1">
      <alignment vertical="center"/>
      <protection locked="0"/>
    </xf>
    <xf numFmtId="43" fontId="17" fillId="0" borderId="0" xfId="1" applyFont="1" applyFill="1" applyBorder="1" applyAlignment="1" applyProtection="1">
      <alignment horizontal="center" vertical="center"/>
      <protection locked="0"/>
    </xf>
    <xf numFmtId="176" fontId="17" fillId="0" borderId="0" xfId="1" applyNumberFormat="1" applyFont="1" applyFill="1" applyBorder="1" applyAlignment="1" applyProtection="1">
      <alignment vertical="center"/>
      <protection locked="0"/>
    </xf>
    <xf numFmtId="4" fontId="32" fillId="0" borderId="13" xfId="89" applyNumberFormat="1" applyFont="1" applyBorder="1" applyAlignment="1">
      <alignment vertical="top" wrapText="1"/>
    </xf>
    <xf numFmtId="170" fontId="32" fillId="0" borderId="10" xfId="89" applyNumberFormat="1" applyFont="1" applyBorder="1" applyAlignment="1">
      <alignment vertical="top" wrapText="1"/>
    </xf>
    <xf numFmtId="170" fontId="32" fillId="0" borderId="14" xfId="89" applyNumberFormat="1" applyFont="1" applyBorder="1" applyAlignment="1">
      <alignment vertical="top" wrapText="1"/>
    </xf>
    <xf numFmtId="0" fontId="22" fillId="0" borderId="7" xfId="0" applyFont="1" applyFill="1" applyBorder="1" applyAlignment="1">
      <alignment horizontal="left"/>
    </xf>
    <xf numFmtId="175" fontId="18" fillId="0" borderId="7" xfId="51" applyNumberFormat="1" applyFont="1" applyFill="1" applyBorder="1" applyAlignment="1" applyProtection="1">
      <alignment horizontal="center" vertical="center"/>
      <protection locked="0"/>
    </xf>
    <xf numFmtId="0" fontId="33" fillId="0" borderId="7" xfId="0" applyFont="1" applyFill="1" applyBorder="1" applyAlignment="1">
      <alignment horizontal="left" vertical="top" wrapText="1"/>
    </xf>
    <xf numFmtId="0" fontId="17" fillId="0" borderId="7" xfId="0" applyFont="1" applyFill="1" applyBorder="1" applyAlignment="1">
      <alignment horizontal="left"/>
    </xf>
    <xf numFmtId="175" fontId="17" fillId="0" borderId="7" xfId="51" applyNumberFormat="1" applyFont="1" applyFill="1" applyBorder="1" applyAlignment="1" applyProtection="1">
      <alignment horizontal="center" vertical="center"/>
      <protection locked="0"/>
    </xf>
    <xf numFmtId="0" fontId="18" fillId="0" borderId="7" xfId="51" applyFont="1" applyFill="1" applyBorder="1" applyAlignment="1">
      <alignment horizontal="center"/>
    </xf>
    <xf numFmtId="0" fontId="22" fillId="0" borderId="7" xfId="51" applyFont="1" applyFill="1" applyBorder="1" applyAlignment="1"/>
    <xf numFmtId="0" fontId="17" fillId="0" borderId="7" xfId="51" applyFont="1" applyFill="1" applyBorder="1" applyAlignment="1">
      <alignment horizontal="left"/>
    </xf>
    <xf numFmtId="0" fontId="23" fillId="0" borderId="7" xfId="51" applyFont="1" applyFill="1" applyBorder="1" applyAlignment="1">
      <alignment vertical="top" wrapText="1"/>
    </xf>
    <xf numFmtId="0" fontId="24" fillId="0" borderId="7" xfId="51" applyFont="1" applyFill="1" applyBorder="1" applyAlignment="1">
      <alignment horizontal="left" wrapText="1"/>
    </xf>
    <xf numFmtId="0" fontId="17" fillId="0" borderId="7" xfId="51" quotePrefix="1" applyFont="1" applyFill="1" applyBorder="1" applyAlignment="1">
      <alignment horizontal="left" vertical="top" wrapText="1"/>
    </xf>
    <xf numFmtId="0" fontId="23" fillId="0" borderId="7" xfId="51" applyFont="1" applyFill="1" applyBorder="1" applyAlignment="1">
      <alignment horizontal="left" wrapText="1"/>
    </xf>
    <xf numFmtId="0" fontId="32" fillId="0" borderId="7" xfId="51" applyFont="1" applyFill="1" applyBorder="1" applyAlignment="1">
      <alignment horizontal="justify" vertical="top" wrapText="1"/>
    </xf>
    <xf numFmtId="175" fontId="27" fillId="0" borderId="7" xfId="51" applyNumberFormat="1" applyFont="1" applyFill="1" applyBorder="1" applyAlignment="1" applyProtection="1">
      <alignment horizontal="center" vertical="center"/>
      <protection locked="0"/>
    </xf>
    <xf numFmtId="0" fontId="42" fillId="0" borderId="7" xfId="51" applyFont="1" applyFill="1" applyBorder="1" applyAlignment="1">
      <alignment horizontal="left" wrapText="1"/>
    </xf>
    <xf numFmtId="0" fontId="27" fillId="0" borderId="7" xfId="51" quotePrefix="1" applyFont="1" applyFill="1" applyBorder="1" applyAlignment="1">
      <alignment horizontal="left" vertical="top" wrapText="1"/>
    </xf>
    <xf numFmtId="0" fontId="42" fillId="0" borderId="7" xfId="51" applyFont="1" applyFill="1" applyBorder="1" applyAlignment="1">
      <alignment vertical="top" wrapText="1"/>
    </xf>
    <xf numFmtId="0" fontId="35" fillId="0" borderId="7" xfId="51" applyFont="1" applyFill="1" applyBorder="1" applyAlignment="1">
      <alignment wrapText="1"/>
    </xf>
    <xf numFmtId="0" fontId="32" fillId="0" borderId="7" xfId="51" applyFont="1" applyFill="1" applyBorder="1" applyAlignment="1">
      <alignment horizontal="left" wrapText="1"/>
    </xf>
    <xf numFmtId="0" fontId="35" fillId="0" borderId="7" xfId="51" applyFont="1" applyFill="1" applyBorder="1" applyAlignment="1">
      <alignment horizontal="left" wrapText="1"/>
    </xf>
    <xf numFmtId="0" fontId="27" fillId="0" borderId="7" xfId="51" applyFont="1" applyFill="1" applyBorder="1" applyAlignment="1">
      <alignment horizontal="left" vertical="top" wrapText="1"/>
    </xf>
    <xf numFmtId="0" fontId="17" fillId="0" borderId="7" xfId="51" applyFont="1" applyFill="1" applyBorder="1" applyAlignment="1">
      <alignment wrapText="1"/>
    </xf>
    <xf numFmtId="0" fontId="17" fillId="0" borderId="7" xfId="51" applyFont="1" applyFill="1" applyBorder="1" applyAlignment="1">
      <alignment horizontal="justify" vertical="top" wrapText="1"/>
    </xf>
    <xf numFmtId="175" fontId="17" fillId="0" borderId="7" xfId="51" applyNumberFormat="1" applyFont="1" applyFill="1" applyBorder="1" applyAlignment="1">
      <alignment horizontal="center" vertical="center"/>
    </xf>
    <xf numFmtId="0" fontId="17" fillId="0" borderId="7" xfId="51" applyFont="1" applyFill="1" applyBorder="1" applyAlignment="1">
      <alignment vertical="top" wrapText="1"/>
    </xf>
    <xf numFmtId="0" fontId="17" fillId="0" borderId="7" xfId="51" quotePrefix="1" applyFont="1" applyFill="1" applyBorder="1" applyAlignment="1">
      <alignment vertical="top" wrapText="1"/>
    </xf>
    <xf numFmtId="43" fontId="0" fillId="0" borderId="0" xfId="1" applyFont="1" applyFill="1"/>
    <xf numFmtId="43" fontId="0" fillId="0" borderId="0" xfId="1" applyFont="1"/>
    <xf numFmtId="43" fontId="0" fillId="0" borderId="0" xfId="0" applyNumberFormat="1"/>
    <xf numFmtId="0" fontId="24" fillId="3" borderId="7" xfId="90" applyFont="1" applyFill="1" applyBorder="1" applyAlignment="1">
      <alignment vertical="top" wrapText="1"/>
    </xf>
    <xf numFmtId="0" fontId="17" fillId="0" borderId="4" xfId="0" applyFont="1" applyBorder="1"/>
    <xf numFmtId="1" fontId="17" fillId="0" borderId="5" xfId="0" applyNumberFormat="1" applyFont="1" applyBorder="1" applyAlignment="1">
      <alignment vertical="center"/>
    </xf>
    <xf numFmtId="169" fontId="17" fillId="0" borderId="5" xfId="1" applyNumberFormat="1" applyFont="1" applyBorder="1" applyAlignment="1">
      <alignment vertical="center"/>
    </xf>
    <xf numFmtId="43" fontId="17" fillId="0" borderId="5" xfId="1" applyFont="1" applyBorder="1" applyAlignment="1">
      <alignment horizontal="right" vertical="center"/>
    </xf>
    <xf numFmtId="0" fontId="17" fillId="0" borderId="4" xfId="0" applyFont="1" applyBorder="1" applyAlignment="1">
      <alignment horizontal="left"/>
    </xf>
    <xf numFmtId="0" fontId="17" fillId="0" borderId="4" xfId="0" applyFont="1" applyBorder="1" applyAlignment="1">
      <alignment horizontal="center" vertical="center"/>
    </xf>
    <xf numFmtId="3" fontId="17" fillId="0" borderId="4" xfId="0" applyNumberFormat="1" applyFont="1" applyBorder="1" applyAlignment="1">
      <alignment horizontal="right" vertical="center"/>
    </xf>
    <xf numFmtId="43" fontId="17" fillId="0" borderId="4" xfId="1" applyFont="1" applyBorder="1" applyAlignment="1">
      <alignment horizontal="right" vertical="center"/>
    </xf>
    <xf numFmtId="0" fontId="20" fillId="0" borderId="0" xfId="0" applyFont="1" applyFill="1" applyBorder="1"/>
    <xf numFmtId="169" fontId="18" fillId="0" borderId="19" xfId="1" applyNumberFormat="1" applyFont="1" applyBorder="1" applyAlignment="1">
      <alignment horizontal="right" vertical="center"/>
    </xf>
    <xf numFmtId="43" fontId="17" fillId="0" borderId="0" xfId="99" applyFont="1" applyFill="1" applyBorder="1" applyAlignment="1" applyProtection="1">
      <alignment vertical="center"/>
      <protection locked="0"/>
    </xf>
    <xf numFmtId="176" fontId="17" fillId="0" borderId="0" xfId="99" applyNumberFormat="1" applyFont="1" applyFill="1" applyBorder="1" applyAlignment="1" applyProtection="1">
      <alignment vertical="center"/>
      <protection locked="0"/>
    </xf>
    <xf numFmtId="43" fontId="18" fillId="0" borderId="1" xfId="99" applyFont="1" applyFill="1" applyBorder="1" applyAlignment="1" applyProtection="1">
      <alignment vertical="center"/>
      <protection locked="0"/>
    </xf>
    <xf numFmtId="43" fontId="18" fillId="0" borderId="39" xfId="99" applyFont="1" applyFill="1" applyBorder="1" applyAlignment="1" applyProtection="1">
      <alignment horizontal="center" vertical="center"/>
      <protection locked="0"/>
    </xf>
    <xf numFmtId="176" fontId="18" fillId="0" borderId="1" xfId="99" applyNumberFormat="1" applyFont="1" applyFill="1" applyBorder="1" applyAlignment="1" applyProtection="1">
      <alignment vertical="center"/>
      <protection locked="0"/>
    </xf>
    <xf numFmtId="43" fontId="17" fillId="0" borderId="1" xfId="99" applyFont="1" applyFill="1" applyBorder="1" applyAlignment="1" applyProtection="1">
      <alignment horizontal="center" vertical="center"/>
      <protection locked="0"/>
    </xf>
    <xf numFmtId="43" fontId="17" fillId="0" borderId="33" xfId="99" applyFont="1" applyFill="1" applyBorder="1" applyAlignment="1" applyProtection="1">
      <alignment horizontal="center" vertical="center"/>
      <protection locked="0"/>
    </xf>
    <xf numFmtId="169" fontId="17" fillId="0" borderId="33" xfId="99" applyNumberFormat="1" applyFont="1" applyFill="1" applyBorder="1" applyAlignment="1" applyProtection="1">
      <alignment vertical="center"/>
      <protection locked="0"/>
    </xf>
    <xf numFmtId="43" fontId="17" fillId="0" borderId="33" xfId="99" applyFont="1" applyFill="1" applyBorder="1" applyAlignment="1" applyProtection="1">
      <alignment vertical="center"/>
      <protection locked="0"/>
    </xf>
    <xf numFmtId="43" fontId="17" fillId="0" borderId="1" xfId="99" applyFont="1" applyFill="1" applyBorder="1" applyAlignment="1" applyProtection="1">
      <alignment vertical="center"/>
      <protection locked="0"/>
    </xf>
    <xf numFmtId="43" fontId="17" fillId="0" borderId="19" xfId="99" applyFont="1" applyFill="1" applyBorder="1" applyAlignment="1" applyProtection="1">
      <alignment vertical="center"/>
      <protection locked="0"/>
    </xf>
    <xf numFmtId="0" fontId="17" fillId="0" borderId="19" xfId="10" applyFont="1" applyBorder="1" applyAlignment="1">
      <alignment horizontal="left"/>
    </xf>
    <xf numFmtId="43" fontId="18" fillId="0" borderId="19" xfId="99" applyFont="1" applyFill="1" applyBorder="1" applyAlignment="1" applyProtection="1">
      <alignment horizontal="center" vertical="center"/>
      <protection locked="0"/>
    </xf>
    <xf numFmtId="43" fontId="17" fillId="0" borderId="12" xfId="99" applyFont="1" applyFill="1" applyBorder="1" applyAlignment="1" applyProtection="1">
      <alignment horizontal="center" vertical="center"/>
      <protection locked="0"/>
    </xf>
    <xf numFmtId="43" fontId="17" fillId="0" borderId="12" xfId="58" applyFont="1" applyFill="1" applyBorder="1" applyAlignment="1" applyProtection="1">
      <alignment horizontal="center" vertical="center"/>
      <protection locked="0"/>
    </xf>
    <xf numFmtId="43" fontId="17" fillId="0" borderId="12" xfId="58" applyFont="1" applyFill="1" applyBorder="1" applyAlignment="1" applyProtection="1">
      <alignment vertical="center"/>
      <protection locked="0"/>
    </xf>
    <xf numFmtId="43" fontId="17" fillId="0" borderId="12" xfId="99" applyFont="1" applyFill="1" applyBorder="1" applyAlignment="1" applyProtection="1">
      <alignment vertical="center"/>
      <protection locked="0"/>
    </xf>
    <xf numFmtId="0" fontId="17" fillId="0" borderId="21" xfId="0" applyFont="1" applyBorder="1"/>
    <xf numFmtId="0" fontId="18" fillId="0" borderId="0" xfId="0" applyFont="1" applyFill="1" applyBorder="1" applyAlignment="1">
      <alignment horizontal="center"/>
    </xf>
    <xf numFmtId="43" fontId="0" fillId="0" borderId="0" xfId="1" applyFont="1" applyFill="1" applyBorder="1"/>
    <xf numFmtId="4" fontId="0" fillId="0" borderId="0" xfId="0" applyNumberFormat="1" applyFill="1" applyBorder="1"/>
    <xf numFmtId="3" fontId="0" fillId="0" borderId="0" xfId="0" applyNumberFormat="1" applyFill="1" applyBorder="1"/>
    <xf numFmtId="165" fontId="0" fillId="0" borderId="0" xfId="0" applyNumberFormat="1" applyFill="1" applyBorder="1"/>
    <xf numFmtId="4" fontId="23" fillId="0" borderId="0" xfId="0" applyNumberFormat="1" applyFont="1" applyFill="1"/>
    <xf numFmtId="0" fontId="18" fillId="0" borderId="35" xfId="0" applyFont="1" applyBorder="1" applyAlignment="1">
      <alignment horizontal="center" vertical="top" wrapText="1"/>
    </xf>
    <xf numFmtId="0" fontId="17" fillId="0" borderId="35" xfId="86" applyFont="1" applyFill="1" applyBorder="1" applyAlignment="1">
      <alignment horizontal="center" vertical="top"/>
    </xf>
    <xf numFmtId="0" fontId="17" fillId="0" borderId="35" xfId="0" applyFont="1" applyFill="1" applyBorder="1" applyAlignment="1">
      <alignment horizontal="center" vertical="top"/>
    </xf>
    <xf numFmtId="0" fontId="17" fillId="0" borderId="35" xfId="0" applyFont="1" applyBorder="1" applyAlignment="1">
      <alignment horizontal="center" vertical="top" wrapText="1"/>
    </xf>
    <xf numFmtId="169" fontId="27" fillId="0" borderId="1" xfId="99" applyNumberFormat="1" applyFont="1" applyFill="1" applyBorder="1" applyAlignment="1" applyProtection="1">
      <alignment horizontal="center" vertical="center"/>
      <protection locked="0"/>
    </xf>
    <xf numFmtId="43" fontId="17" fillId="0" borderId="0" xfId="99" applyFont="1" applyFill="1" applyBorder="1" applyAlignment="1" applyProtection="1">
      <alignment horizontal="center" vertical="center"/>
      <protection locked="0"/>
    </xf>
    <xf numFmtId="43" fontId="17" fillId="0" borderId="19" xfId="99" applyFont="1" applyFill="1" applyBorder="1" applyAlignment="1" applyProtection="1">
      <alignment horizontal="center" vertical="center"/>
      <protection locked="0"/>
    </xf>
    <xf numFmtId="43" fontId="17" fillId="0" borderId="29" xfId="58" applyFont="1" applyFill="1" applyBorder="1" applyAlignment="1">
      <alignment horizontal="center" vertical="center"/>
    </xf>
    <xf numFmtId="43" fontId="17" fillId="0" borderId="29" xfId="58" applyFont="1" applyFill="1" applyBorder="1" applyAlignment="1" applyProtection="1">
      <alignment vertical="center"/>
      <protection locked="0"/>
    </xf>
    <xf numFmtId="43" fontId="17" fillId="0" borderId="29" xfId="58" applyFont="1" applyFill="1" applyBorder="1" applyAlignment="1" applyProtection="1">
      <alignment horizontal="center" vertical="center"/>
      <protection locked="0"/>
    </xf>
    <xf numFmtId="176" fontId="17" fillId="0" borderId="29" xfId="58" applyNumberFormat="1" applyFont="1" applyFill="1" applyBorder="1" applyAlignment="1" applyProtection="1">
      <alignment vertical="center"/>
      <protection locked="0"/>
    </xf>
    <xf numFmtId="43" fontId="17" fillId="0" borderId="29" xfId="99" applyFont="1" applyFill="1" applyBorder="1" applyAlignment="1" applyProtection="1">
      <alignment vertical="center"/>
      <protection locked="0"/>
    </xf>
    <xf numFmtId="43" fontId="17" fillId="0" borderId="29" xfId="99" applyFont="1" applyFill="1" applyBorder="1" applyAlignment="1" applyProtection="1">
      <alignment horizontal="center" vertical="center"/>
      <protection locked="0"/>
    </xf>
    <xf numFmtId="176" fontId="17" fillId="0" borderId="29" xfId="99" applyNumberFormat="1" applyFont="1" applyFill="1" applyBorder="1" applyAlignment="1" applyProtection="1">
      <alignment vertical="center"/>
      <protection locked="0"/>
    </xf>
    <xf numFmtId="4" fontId="17" fillId="0" borderId="5" xfId="21" applyNumberFormat="1" applyFont="1" applyBorder="1" applyAlignment="1" applyProtection="1">
      <alignment horizontal="center" vertical="center"/>
      <protection locked="0"/>
    </xf>
    <xf numFmtId="0" fontId="18" fillId="0" borderId="4" xfId="21" applyFont="1" applyBorder="1" applyAlignment="1">
      <alignment horizontal="center" vertical="center" wrapText="1"/>
    </xf>
    <xf numFmtId="174" fontId="17" fillId="0" borderId="9" xfId="57" applyFont="1" applyBorder="1" applyAlignment="1">
      <alignment vertical="top" wrapText="1"/>
    </xf>
    <xf numFmtId="174" fontId="17" fillId="0" borderId="9" xfId="57" applyFont="1" applyBorder="1" applyAlignment="1">
      <alignment horizontal="center" vertical="top" wrapText="1"/>
    </xf>
    <xf numFmtId="1" fontId="17" fillId="0" borderId="9" xfId="57" applyNumberFormat="1" applyFont="1" applyBorder="1" applyAlignment="1" applyProtection="1">
      <alignment horizontal="center" vertical="top" wrapText="1"/>
    </xf>
    <xf numFmtId="169" fontId="17" fillId="0" borderId="9" xfId="1" applyNumberFormat="1" applyFont="1" applyBorder="1" applyAlignment="1" applyProtection="1">
      <alignment vertical="top" wrapText="1"/>
    </xf>
    <xf numFmtId="0" fontId="17" fillId="0" borderId="23" xfId="0" applyFont="1" applyBorder="1" applyAlignment="1">
      <alignment horizontal="center" vertical="top" wrapText="1"/>
    </xf>
    <xf numFmtId="1" fontId="17" fillId="0" borderId="23" xfId="0" applyNumberFormat="1" applyFont="1" applyBorder="1" applyAlignment="1">
      <alignment horizontal="center" vertical="top" wrapText="1"/>
    </xf>
    <xf numFmtId="0" fontId="51" fillId="0" borderId="49" xfId="0" applyFont="1" applyFill="1" applyBorder="1" applyAlignment="1">
      <alignment horizontal="center"/>
    </xf>
    <xf numFmtId="0" fontId="51" fillId="0" borderId="50" xfId="0" applyFont="1" applyFill="1" applyBorder="1" applyAlignment="1">
      <alignment horizontal="center"/>
    </xf>
    <xf numFmtId="0" fontId="20" fillId="0" borderId="49" xfId="0" applyFont="1" applyFill="1" applyBorder="1"/>
    <xf numFmtId="43" fontId="0" fillId="0" borderId="0" xfId="0" applyNumberFormat="1" applyFill="1" applyBorder="1"/>
    <xf numFmtId="0" fontId="0" fillId="0" borderId="38" xfId="0" applyFill="1" applyBorder="1" applyAlignment="1">
      <alignment horizontal="center"/>
    </xf>
    <xf numFmtId="43" fontId="0" fillId="0" borderId="0" xfId="99" applyFont="1" applyFill="1" applyBorder="1"/>
    <xf numFmtId="169" fontId="0" fillId="0" borderId="0" xfId="99" applyNumberFormat="1" applyFont="1" applyFill="1" applyBorder="1"/>
    <xf numFmtId="43" fontId="52" fillId="0" borderId="0" xfId="99" applyFont="1" applyFill="1" applyBorder="1"/>
    <xf numFmtId="176" fontId="52" fillId="0" borderId="0" xfId="99" applyNumberFormat="1" applyFont="1" applyFill="1" applyBorder="1" applyAlignment="1"/>
    <xf numFmtId="0" fontId="17" fillId="2" borderId="5" xfId="0" applyFont="1" applyFill="1" applyBorder="1" applyAlignment="1">
      <alignment horizontal="left" vertical="top" wrapText="1"/>
    </xf>
    <xf numFmtId="0" fontId="17" fillId="2" borderId="5" xfId="0" applyFont="1" applyFill="1" applyBorder="1" applyAlignment="1">
      <alignment horizontal="left" vertical="top"/>
    </xf>
    <xf numFmtId="3" fontId="17" fillId="2" borderId="5" xfId="0" applyNumberFormat="1" applyFont="1" applyFill="1" applyBorder="1" applyAlignment="1">
      <alignment horizontal="center" vertical="top"/>
    </xf>
    <xf numFmtId="3" fontId="17" fillId="2" borderId="11" xfId="4" applyNumberFormat="1" applyFont="1" applyFill="1" applyBorder="1" applyAlignment="1">
      <alignment vertical="top"/>
    </xf>
    <xf numFmtId="0" fontId="18" fillId="2" borderId="0" xfId="0" applyFont="1" applyFill="1" applyBorder="1" applyAlignment="1">
      <alignment vertical="center"/>
    </xf>
    <xf numFmtId="0" fontId="18" fillId="2" borderId="1" xfId="0" applyFont="1" applyFill="1" applyBorder="1" applyAlignment="1">
      <alignment vertical="center"/>
    </xf>
    <xf numFmtId="0" fontId="18" fillId="0" borderId="35" xfId="0" applyFont="1" applyBorder="1" applyAlignment="1">
      <alignment horizontal="center" vertical="center" wrapText="1"/>
    </xf>
    <xf numFmtId="43" fontId="17" fillId="0" borderId="7" xfId="99" applyFont="1" applyFill="1" applyBorder="1" applyAlignment="1">
      <alignment horizontal="center" vertical="center"/>
    </xf>
    <xf numFmtId="169" fontId="17" fillId="0" borderId="7" xfId="99" applyNumberFormat="1" applyFont="1" applyFill="1" applyBorder="1" applyAlignment="1" applyProtection="1">
      <alignment vertical="center"/>
      <protection locked="0"/>
    </xf>
    <xf numFmtId="43" fontId="17" fillId="0" borderId="7" xfId="99" applyFont="1" applyFill="1" applyBorder="1" applyAlignment="1" applyProtection="1">
      <alignment vertical="center"/>
      <protection locked="0"/>
    </xf>
    <xf numFmtId="43" fontId="17" fillId="0" borderId="7" xfId="99" applyFont="1" applyFill="1" applyBorder="1" applyAlignment="1" applyProtection="1">
      <alignment horizontal="center" vertical="center"/>
      <protection locked="0"/>
    </xf>
    <xf numFmtId="176" fontId="17" fillId="0" borderId="7" xfId="99" applyNumberFormat="1" applyFont="1" applyFill="1" applyBorder="1" applyAlignment="1" applyProtection="1">
      <alignment vertical="center"/>
      <protection locked="0"/>
    </xf>
    <xf numFmtId="0" fontId="17" fillId="0" borderId="3" xfId="0" applyFont="1" applyBorder="1" applyAlignment="1">
      <alignment horizontal="center" vertical="center"/>
    </xf>
    <xf numFmtId="43" fontId="17" fillId="0" borderId="21" xfId="1" applyFont="1" applyBorder="1" applyAlignment="1">
      <alignment horizontal="right" vertical="center"/>
    </xf>
    <xf numFmtId="11" fontId="17" fillId="0" borderId="35" xfId="18" applyNumberFormat="1" applyFont="1" applyBorder="1" applyAlignment="1">
      <alignment horizontal="center" vertical="center"/>
    </xf>
    <xf numFmtId="0" fontId="51" fillId="0" borderId="20" xfId="0" applyFont="1" applyFill="1" applyBorder="1" applyAlignment="1">
      <alignment horizontal="center"/>
    </xf>
    <xf numFmtId="0" fontId="51" fillId="0" borderId="5" xfId="0" applyFont="1" applyFill="1" applyBorder="1" applyAlignment="1">
      <alignment horizontal="center"/>
    </xf>
    <xf numFmtId="0" fontId="51" fillId="0" borderId="18" xfId="0" applyFont="1" applyFill="1" applyBorder="1" applyAlignment="1">
      <alignment horizontal="center"/>
    </xf>
    <xf numFmtId="0" fontId="18" fillId="0" borderId="35" xfId="0" applyFont="1" applyFill="1" applyBorder="1" applyAlignment="1">
      <alignment horizontal="center" vertical="top"/>
    </xf>
    <xf numFmtId="43" fontId="18" fillId="0" borderId="7" xfId="99" applyFont="1" applyFill="1" applyBorder="1" applyAlignment="1">
      <alignment horizontal="center" vertical="center"/>
    </xf>
    <xf numFmtId="169" fontId="18" fillId="0" borderId="7" xfId="99" applyNumberFormat="1" applyFont="1" applyFill="1" applyBorder="1" applyAlignment="1" applyProtection="1">
      <alignment vertical="center"/>
      <protection locked="0"/>
    </xf>
    <xf numFmtId="169" fontId="18" fillId="0" borderId="12" xfId="99" applyNumberFormat="1" applyFont="1" applyFill="1" applyBorder="1" applyAlignment="1" applyProtection="1">
      <alignment horizontal="center" vertical="center"/>
      <protection locked="0"/>
    </xf>
    <xf numFmtId="169" fontId="17" fillId="0" borderId="7" xfId="99" applyNumberFormat="1" applyFont="1" applyFill="1" applyBorder="1" applyAlignment="1" applyProtection="1">
      <alignment horizontal="center" vertical="center"/>
      <protection locked="0"/>
    </xf>
    <xf numFmtId="169" fontId="17" fillId="0" borderId="12" xfId="99" applyNumberFormat="1" applyFont="1" applyFill="1" applyBorder="1" applyAlignment="1" applyProtection="1">
      <alignment horizontal="center" vertical="center"/>
      <protection locked="0"/>
    </xf>
    <xf numFmtId="169" fontId="17" fillId="0" borderId="12" xfId="99" applyNumberFormat="1" applyFont="1" applyFill="1" applyBorder="1" applyAlignment="1" applyProtection="1">
      <alignment vertical="center"/>
      <protection locked="0"/>
    </xf>
    <xf numFmtId="0" fontId="17" fillId="0" borderId="35" xfId="51" applyFont="1" applyFill="1" applyBorder="1" applyAlignment="1">
      <alignment horizontal="center" vertical="top"/>
    </xf>
    <xf numFmtId="169" fontId="17" fillId="0" borderId="12" xfId="99" applyNumberFormat="1" applyFont="1" applyFill="1" applyBorder="1" applyAlignment="1" applyProtection="1">
      <alignment horizontal="right" vertical="center"/>
      <protection locked="0"/>
    </xf>
    <xf numFmtId="0" fontId="17" fillId="0" borderId="35" xfId="51" quotePrefix="1" applyFont="1" applyFill="1" applyBorder="1" applyAlignment="1">
      <alignment horizontal="center" vertical="top"/>
    </xf>
    <xf numFmtId="0" fontId="27" fillId="0" borderId="35" xfId="51" quotePrefix="1" applyFont="1" applyFill="1" applyBorder="1" applyAlignment="1">
      <alignment horizontal="center" vertical="top"/>
    </xf>
    <xf numFmtId="43" fontId="27" fillId="0" borderId="7" xfId="99" applyFont="1" applyFill="1" applyBorder="1" applyAlignment="1">
      <alignment horizontal="center" vertical="center"/>
    </xf>
    <xf numFmtId="169" fontId="27" fillId="0" borderId="7" xfId="99" applyNumberFormat="1" applyFont="1" applyFill="1" applyBorder="1" applyAlignment="1" applyProtection="1">
      <alignment horizontal="center" vertical="center"/>
      <protection locked="0"/>
    </xf>
    <xf numFmtId="0" fontId="27" fillId="0" borderId="35" xfId="51" applyFont="1" applyFill="1" applyBorder="1" applyAlignment="1">
      <alignment horizontal="center" vertical="top"/>
    </xf>
    <xf numFmtId="169" fontId="27" fillId="0" borderId="7" xfId="99" applyNumberFormat="1" applyFont="1" applyFill="1" applyBorder="1" applyAlignment="1" applyProtection="1">
      <alignment vertical="center"/>
      <protection locked="0"/>
    </xf>
    <xf numFmtId="0" fontId="27" fillId="0" borderId="7" xfId="51" applyFont="1" applyFill="1" applyBorder="1" applyAlignment="1">
      <alignment vertical="top" wrapText="1"/>
    </xf>
    <xf numFmtId="0" fontId="32" fillId="0" borderId="35" xfId="51" applyFont="1" applyFill="1" applyBorder="1" applyAlignment="1">
      <alignment horizontal="center" vertical="top"/>
    </xf>
    <xf numFmtId="0" fontId="17" fillId="0" borderId="35" xfId="86" quotePrefix="1" applyFont="1" applyFill="1" applyBorder="1" applyAlignment="1">
      <alignment horizontal="center" vertical="top"/>
    </xf>
    <xf numFmtId="169" fontId="17" fillId="0" borderId="12" xfId="58" applyNumberFormat="1" applyFont="1" applyFill="1" applyBorder="1" applyAlignment="1" applyProtection="1">
      <alignment horizontal="right" vertical="center"/>
      <protection locked="0"/>
    </xf>
    <xf numFmtId="169" fontId="17" fillId="0" borderId="12" xfId="58" applyNumberFormat="1" applyFont="1" applyFill="1" applyBorder="1" applyAlignment="1" applyProtection="1">
      <alignment vertical="center"/>
      <protection locked="0"/>
    </xf>
    <xf numFmtId="169" fontId="17" fillId="0" borderId="12" xfId="58" applyNumberFormat="1" applyFont="1" applyFill="1" applyBorder="1" applyAlignment="1" applyProtection="1">
      <alignment horizontal="left" vertical="center"/>
      <protection locked="0"/>
    </xf>
    <xf numFmtId="169" fontId="17" fillId="0" borderId="12" xfId="58" applyNumberFormat="1" applyFont="1" applyFill="1" applyBorder="1" applyAlignment="1" applyProtection="1">
      <alignment horizontal="center" vertical="center"/>
      <protection locked="0"/>
    </xf>
    <xf numFmtId="0" fontId="20" fillId="0" borderId="35" xfId="11" applyFont="1" applyFill="1" applyBorder="1" applyAlignment="1">
      <alignment horizontal="center" vertical="top"/>
    </xf>
    <xf numFmtId="169" fontId="17" fillId="0" borderId="12" xfId="99" applyNumberFormat="1" applyFont="1" applyFill="1" applyBorder="1" applyAlignment="1" applyProtection="1">
      <alignment horizontal="left" vertical="center"/>
      <protection locked="0"/>
    </xf>
    <xf numFmtId="169" fontId="17" fillId="0" borderId="7" xfId="99" applyNumberFormat="1" applyFont="1" applyFill="1" applyBorder="1" applyAlignment="1">
      <alignment vertical="center"/>
    </xf>
    <xf numFmtId="0" fontId="18" fillId="0" borderId="3" xfId="21" applyFont="1" applyBorder="1" applyAlignment="1">
      <alignment horizontal="center" vertical="center" wrapText="1"/>
    </xf>
    <xf numFmtId="169" fontId="18" fillId="0" borderId="21" xfId="1" applyNumberFormat="1" applyFont="1" applyBorder="1" applyAlignment="1">
      <alignment horizontal="right" vertical="center"/>
    </xf>
    <xf numFmtId="1" fontId="17" fillId="0" borderId="7" xfId="1" applyNumberFormat="1" applyFont="1" applyBorder="1" applyAlignment="1">
      <alignment horizontal="center" vertical="top" wrapText="1"/>
    </xf>
    <xf numFmtId="169" fontId="17" fillId="0" borderId="7" xfId="1" applyNumberFormat="1" applyFont="1" applyBorder="1" applyAlignment="1" applyProtection="1">
      <alignment vertical="top" wrapText="1"/>
    </xf>
    <xf numFmtId="1" fontId="18" fillId="0" borderId="7" xfId="1" applyNumberFormat="1" applyFont="1" applyBorder="1" applyAlignment="1">
      <alignment horizontal="center" vertical="top" wrapText="1"/>
    </xf>
    <xf numFmtId="4" fontId="18" fillId="0" borderId="12" xfId="1" applyNumberFormat="1" applyFont="1" applyFill="1" applyBorder="1"/>
    <xf numFmtId="1" fontId="18" fillId="0" borderId="7" xfId="0" applyNumberFormat="1" applyFont="1" applyBorder="1" applyAlignment="1">
      <alignment horizontal="center" vertical="top" wrapText="1"/>
    </xf>
    <xf numFmtId="1" fontId="17" fillId="0" borderId="7" xfId="0" applyNumberFormat="1" applyFont="1" applyBorder="1" applyAlignment="1">
      <alignment horizontal="center" vertical="top" wrapText="1"/>
    </xf>
    <xf numFmtId="0" fontId="17" fillId="2" borderId="20" xfId="0" applyFont="1" applyFill="1" applyBorder="1" applyAlignment="1">
      <alignment horizontal="center" vertical="top" wrapText="1"/>
    </xf>
    <xf numFmtId="4" fontId="17" fillId="2" borderId="16" xfId="1" applyNumberFormat="1" applyFont="1" applyFill="1" applyBorder="1" applyAlignment="1">
      <alignment vertical="top"/>
    </xf>
    <xf numFmtId="0" fontId="17" fillId="2" borderId="37" xfId="0" applyFont="1" applyFill="1" applyBorder="1"/>
    <xf numFmtId="0" fontId="17" fillId="2" borderId="3" xfId="0" applyFont="1" applyFill="1" applyBorder="1" applyAlignment="1">
      <alignment horizontal="center" vertical="top"/>
    </xf>
    <xf numFmtId="0" fontId="17" fillId="2" borderId="4" xfId="0" applyFont="1" applyFill="1" applyBorder="1" applyAlignment="1">
      <alignment vertical="top" wrapText="1"/>
    </xf>
    <xf numFmtId="0" fontId="17" fillId="2" borderId="4" xfId="0" applyFont="1" applyFill="1" applyBorder="1" applyAlignment="1">
      <alignment horizontal="left" vertical="top"/>
    </xf>
    <xf numFmtId="3" fontId="17" fillId="2" borderId="4" xfId="0" applyNumberFormat="1" applyFont="1" applyFill="1" applyBorder="1" applyAlignment="1">
      <alignment horizontal="center" vertical="top"/>
    </xf>
    <xf numFmtId="3" fontId="17" fillId="2" borderId="6" xfId="4" applyNumberFormat="1" applyFont="1" applyFill="1" applyBorder="1" applyAlignment="1">
      <alignment vertical="top"/>
    </xf>
    <xf numFmtId="4" fontId="17" fillId="2" borderId="17" xfId="1" applyNumberFormat="1" applyFont="1" applyFill="1" applyBorder="1" applyAlignment="1">
      <alignment vertical="top"/>
    </xf>
    <xf numFmtId="43" fontId="0" fillId="0" borderId="0" xfId="1" applyFont="1" applyFill="1" applyBorder="1" applyAlignment="1">
      <alignment vertical="center"/>
    </xf>
    <xf numFmtId="0" fontId="0" fillId="0" borderId="0" xfId="0" applyAlignment="1">
      <alignment vertical="center"/>
    </xf>
    <xf numFmtId="171" fontId="18" fillId="2" borderId="12" xfId="1" applyNumberFormat="1" applyFont="1" applyFill="1" applyBorder="1" applyAlignment="1">
      <alignment vertical="top"/>
    </xf>
    <xf numFmtId="0" fontId="59" fillId="0" borderId="20" xfId="0" applyFont="1" applyBorder="1" applyAlignment="1">
      <alignment horizontal="center" vertical="top"/>
    </xf>
    <xf numFmtId="0" fontId="59" fillId="0" borderId="5" xfId="0" applyFont="1" applyBorder="1" applyAlignment="1">
      <alignment vertical="top" wrapText="1"/>
    </xf>
    <xf numFmtId="173" fontId="59" fillId="0" borderId="5" xfId="34" applyNumberFormat="1" applyFont="1" applyBorder="1" applyAlignment="1">
      <alignment vertical="top"/>
    </xf>
    <xf numFmtId="173" fontId="59" fillId="0" borderId="18" xfId="34" applyNumberFormat="1" applyFont="1" applyBorder="1" applyAlignment="1">
      <alignment vertical="top"/>
    </xf>
    <xf numFmtId="0" fontId="59" fillId="0" borderId="37" xfId="0" applyFont="1" applyBorder="1" applyAlignment="1">
      <alignment horizontal="center" vertical="top"/>
    </xf>
    <xf numFmtId="0" fontId="61" fillId="0" borderId="37" xfId="0" applyFont="1" applyBorder="1" applyAlignment="1">
      <alignment horizontal="center" vertical="top"/>
    </xf>
    <xf numFmtId="0" fontId="62" fillId="0" borderId="13" xfId="0" applyFont="1" applyBorder="1" applyAlignment="1">
      <alignment horizontal="center" vertical="center"/>
    </xf>
    <xf numFmtId="0" fontId="62" fillId="0" borderId="8" xfId="0" applyFont="1" applyBorder="1" applyAlignment="1">
      <alignment horizontal="center" vertical="top" wrapText="1"/>
    </xf>
    <xf numFmtId="0" fontId="59" fillId="0" borderId="2" xfId="0" applyFont="1" applyFill="1" applyBorder="1" applyAlignment="1">
      <alignment horizontal="center"/>
    </xf>
    <xf numFmtId="0" fontId="61" fillId="0" borderId="0" xfId="0" applyFont="1"/>
    <xf numFmtId="0" fontId="60" fillId="0" borderId="46" xfId="0" applyFont="1" applyFill="1" applyBorder="1" applyAlignment="1">
      <alignment horizontal="center"/>
    </xf>
    <xf numFmtId="0" fontId="62" fillId="0" borderId="46" xfId="0" applyFont="1" applyFill="1" applyBorder="1"/>
    <xf numFmtId="43" fontId="62" fillId="0" borderId="12" xfId="0" applyNumberFormat="1" applyFont="1" applyBorder="1"/>
    <xf numFmtId="0" fontId="61" fillId="0" borderId="12" xfId="0" applyFont="1" applyBorder="1"/>
    <xf numFmtId="0" fontId="61" fillId="0" borderId="22" xfId="0" applyFont="1" applyBorder="1"/>
    <xf numFmtId="0" fontId="61" fillId="0" borderId="17" xfId="0" applyFont="1" applyBorder="1"/>
    <xf numFmtId="0" fontId="61" fillId="0" borderId="0" xfId="0" applyFont="1" applyBorder="1"/>
    <xf numFmtId="0" fontId="61" fillId="0" borderId="0" xfId="0" applyFont="1" applyBorder="1" applyAlignment="1">
      <alignment horizontal="center"/>
    </xf>
    <xf numFmtId="0" fontId="58" fillId="0" borderId="0" xfId="0" applyFont="1" applyBorder="1"/>
    <xf numFmtId="0" fontId="69" fillId="0" borderId="0" xfId="0" applyFont="1" applyBorder="1" applyAlignment="1">
      <alignment horizontal="left" vertical="center"/>
    </xf>
    <xf numFmtId="0" fontId="70" fillId="0" borderId="0" xfId="0" applyFont="1" applyBorder="1" applyAlignment="1">
      <alignment vertical="center"/>
    </xf>
    <xf numFmtId="0" fontId="71" fillId="0" borderId="0" xfId="0" applyFont="1" applyBorder="1" applyAlignment="1">
      <alignment horizontal="left" vertical="center" indent="14"/>
    </xf>
    <xf numFmtId="0" fontId="0" fillId="0" borderId="20" xfId="0" applyBorder="1"/>
    <xf numFmtId="0" fontId="0" fillId="0" borderId="5" xfId="0" applyBorder="1"/>
    <xf numFmtId="0" fontId="0" fillId="0" borderId="18" xfId="0" applyBorder="1"/>
    <xf numFmtId="0" fontId="0" fillId="0" borderId="37" xfId="0" applyBorder="1"/>
    <xf numFmtId="0" fontId="0" fillId="0" borderId="0" xfId="0" applyBorder="1"/>
    <xf numFmtId="0" fontId="0" fillId="0" borderId="19" xfId="0" applyBorder="1"/>
    <xf numFmtId="0" fontId="62" fillId="0" borderId="2" xfId="0" applyFont="1" applyBorder="1"/>
    <xf numFmtId="0" fontId="61" fillId="0" borderId="2" xfId="0" applyFont="1" applyBorder="1"/>
    <xf numFmtId="178" fontId="0" fillId="4" borderId="0" xfId="9" applyNumberFormat="1" applyFont="1" applyFill="1"/>
    <xf numFmtId="0" fontId="0" fillId="4" borderId="0" xfId="0" applyFill="1"/>
    <xf numFmtId="0" fontId="74" fillId="0" borderId="20" xfId="0" applyFont="1" applyBorder="1" applyAlignment="1">
      <alignment horizontal="center" vertical="top"/>
    </xf>
    <xf numFmtId="0" fontId="74" fillId="0" borderId="5" xfId="0" applyFont="1" applyBorder="1" applyAlignment="1">
      <alignment vertical="top" wrapText="1"/>
    </xf>
    <xf numFmtId="173" fontId="74" fillId="0" borderId="5" xfId="34" applyNumberFormat="1" applyFont="1" applyBorder="1" applyAlignment="1">
      <alignment vertical="top"/>
    </xf>
    <xf numFmtId="173" fontId="74" fillId="0" borderId="18" xfId="34" applyNumberFormat="1" applyFont="1" applyBorder="1" applyAlignment="1">
      <alignment vertical="top"/>
    </xf>
    <xf numFmtId="0" fontId="74" fillId="0" borderId="37" xfId="0" applyFont="1" applyBorder="1" applyAlignment="1">
      <alignment horizontal="center" vertical="top"/>
    </xf>
    <xf numFmtId="0" fontId="76" fillId="0" borderId="37" xfId="0" applyFont="1" applyBorder="1" applyAlignment="1">
      <alignment horizontal="center" vertical="top"/>
    </xf>
    <xf numFmtId="0" fontId="76" fillId="0" borderId="0" xfId="0" applyFont="1" applyBorder="1" applyAlignment="1">
      <alignment horizontal="left"/>
    </xf>
    <xf numFmtId="3" fontId="76" fillId="0" borderId="0" xfId="0" applyNumberFormat="1" applyFont="1" applyBorder="1" applyAlignment="1">
      <alignment horizontal="center" vertical="center"/>
    </xf>
    <xf numFmtId="173" fontId="76" fillId="0" borderId="19" xfId="1" applyNumberFormat="1" applyFont="1" applyBorder="1" applyAlignment="1">
      <alignment horizontal="right" vertical="center"/>
    </xf>
    <xf numFmtId="173" fontId="70" fillId="0" borderId="14" xfId="1" applyNumberFormat="1" applyFont="1" applyBorder="1" applyAlignment="1">
      <alignment horizontal="right" vertical="center" wrapText="1"/>
    </xf>
    <xf numFmtId="0" fontId="76" fillId="0" borderId="0" xfId="0" applyFont="1" applyBorder="1"/>
    <xf numFmtId="0" fontId="76" fillId="0" borderId="0" xfId="0" applyFont="1" applyBorder="1" applyAlignment="1">
      <alignment horizontal="center"/>
    </xf>
    <xf numFmtId="0" fontId="76" fillId="0" borderId="0" xfId="0" applyFont="1"/>
    <xf numFmtId="0" fontId="74" fillId="0" borderId="5" xfId="0" applyFont="1" applyBorder="1" applyAlignment="1">
      <alignment horizontal="center" vertical="top"/>
    </xf>
    <xf numFmtId="0" fontId="74" fillId="0" borderId="5" xfId="2" applyNumberFormat="1" applyFont="1" applyBorder="1" applyAlignment="1">
      <alignment horizontal="center" vertical="top"/>
    </xf>
    <xf numFmtId="0" fontId="74" fillId="0" borderId="0" xfId="0" applyFont="1" applyAlignment="1">
      <alignment vertical="top"/>
    </xf>
    <xf numFmtId="0" fontId="76" fillId="0" borderId="0" xfId="0" applyFont="1" applyBorder="1" applyAlignment="1">
      <alignment horizontal="center" vertical="center"/>
    </xf>
    <xf numFmtId="3" fontId="76" fillId="0" borderId="0" xfId="0" applyNumberFormat="1" applyFont="1" applyBorder="1" applyAlignment="1">
      <alignment horizontal="right" vertical="center"/>
    </xf>
    <xf numFmtId="0" fontId="70" fillId="0" borderId="13" xfId="0" applyFont="1" applyBorder="1" applyAlignment="1">
      <alignment horizontal="center" vertical="top" wrapText="1"/>
    </xf>
    <xf numFmtId="0" fontId="70" fillId="0" borderId="10" xfId="0" applyFont="1" applyBorder="1" applyAlignment="1">
      <alignment horizontal="left" vertical="top" wrapText="1"/>
    </xf>
    <xf numFmtId="0" fontId="70" fillId="0" borderId="10" xfId="0" applyFont="1" applyBorder="1" applyAlignment="1">
      <alignment horizontal="center" vertical="center" wrapText="1"/>
    </xf>
    <xf numFmtId="3" fontId="70" fillId="0" borderId="10" xfId="0" applyNumberFormat="1" applyFont="1" applyBorder="1" applyAlignment="1">
      <alignment horizontal="right" vertical="center" wrapText="1"/>
    </xf>
    <xf numFmtId="3" fontId="70" fillId="0" borderId="10" xfId="4" applyNumberFormat="1" applyFont="1" applyBorder="1" applyAlignment="1">
      <alignment horizontal="center" vertical="center" wrapText="1"/>
    </xf>
    <xf numFmtId="0" fontId="78" fillId="0" borderId="37" xfId="0" applyFont="1" applyBorder="1" applyAlignment="1">
      <alignment horizontal="center" vertical="top"/>
    </xf>
    <xf numFmtId="0" fontId="74" fillId="0" borderId="7" xfId="0" applyFont="1" applyBorder="1" applyAlignment="1">
      <alignment vertical="top" wrapText="1"/>
    </xf>
    <xf numFmtId="0" fontId="74" fillId="0" borderId="0" xfId="0" applyFont="1" applyBorder="1" applyAlignment="1">
      <alignment horizontal="center" vertical="top"/>
    </xf>
    <xf numFmtId="0" fontId="74" fillId="0" borderId="7" xfId="2" applyNumberFormat="1" applyFont="1" applyBorder="1" applyAlignment="1">
      <alignment horizontal="center" vertical="top"/>
    </xf>
    <xf numFmtId="173" fontId="78" fillId="0" borderId="7" xfId="34" applyNumberFormat="1" applyFont="1" applyBorder="1" applyAlignment="1">
      <alignment horizontal="center" vertical="top"/>
    </xf>
    <xf numFmtId="173" fontId="78" fillId="0" borderId="19" xfId="34" applyNumberFormat="1" applyFont="1" applyBorder="1" applyAlignment="1">
      <alignment horizontal="center" vertical="top"/>
    </xf>
    <xf numFmtId="4" fontId="74" fillId="0" borderId="0" xfId="0" applyNumberFormat="1" applyFont="1" applyAlignment="1">
      <alignment vertical="top"/>
    </xf>
    <xf numFmtId="0" fontId="78" fillId="0" borderId="7" xfId="0" applyFont="1" applyBorder="1" applyAlignment="1">
      <alignment vertical="top" wrapText="1"/>
    </xf>
    <xf numFmtId="173" fontId="74" fillId="0" borderId="7" xfId="34" applyNumberFormat="1" applyFont="1" applyBorder="1" applyAlignment="1">
      <alignment vertical="top"/>
    </xf>
    <xf numFmtId="173" fontId="74" fillId="0" borderId="19" xfId="34" applyNumberFormat="1" applyFont="1" applyBorder="1" applyAlignment="1">
      <alignment vertical="top"/>
    </xf>
    <xf numFmtId="0" fontId="74" fillId="0" borderId="0" xfId="0" applyFont="1" applyFill="1" applyAlignment="1">
      <alignment vertical="top"/>
    </xf>
    <xf numFmtId="0" fontId="79" fillId="0" borderId="7" xfId="0" applyFont="1" applyBorder="1" applyAlignment="1">
      <alignment vertical="top" wrapText="1"/>
    </xf>
    <xf numFmtId="0" fontId="74" fillId="0" borderId="37" xfId="0" applyFont="1" applyFill="1" applyBorder="1" applyAlignment="1">
      <alignment horizontal="center" vertical="top"/>
    </xf>
    <xf numFmtId="0" fontId="74" fillId="0" borderId="7" xfId="0" applyFont="1" applyFill="1" applyBorder="1" applyAlignment="1">
      <alignment vertical="top" wrapText="1"/>
    </xf>
    <xf numFmtId="10" fontId="74" fillId="0" borderId="0" xfId="0" applyNumberFormat="1" applyFont="1" applyFill="1" applyAlignment="1">
      <alignment vertical="top"/>
    </xf>
    <xf numFmtId="0" fontId="74" fillId="0" borderId="0" xfId="0" applyFont="1" applyFill="1" applyBorder="1" applyAlignment="1">
      <alignment horizontal="center" vertical="center"/>
    </xf>
    <xf numFmtId="0" fontId="74" fillId="0" borderId="7" xfId="2" applyNumberFormat="1" applyFont="1" applyFill="1" applyBorder="1" applyAlignment="1">
      <alignment horizontal="center" vertical="center"/>
    </xf>
    <xf numFmtId="173" fontId="74" fillId="0" borderId="7" xfId="34" applyNumberFormat="1" applyFont="1" applyFill="1" applyBorder="1" applyAlignment="1">
      <alignment vertical="center"/>
    </xf>
    <xf numFmtId="173" fontId="74" fillId="0" borderId="19" xfId="34" applyNumberFormat="1" applyFont="1" applyFill="1" applyBorder="1" applyAlignment="1">
      <alignment vertical="center"/>
    </xf>
    <xf numFmtId="0" fontId="74" fillId="0" borderId="0" xfId="0" applyFont="1" applyFill="1" applyBorder="1" applyAlignment="1">
      <alignment horizontal="center" vertical="top"/>
    </xf>
    <xf numFmtId="0" fontId="74" fillId="0" borderId="7" xfId="2" applyNumberFormat="1" applyFont="1" applyFill="1" applyBorder="1" applyAlignment="1">
      <alignment horizontal="center" vertical="top"/>
    </xf>
    <xf numFmtId="173" fontId="74" fillId="0" borderId="7" xfId="34" applyNumberFormat="1" applyFont="1" applyFill="1" applyBorder="1" applyAlignment="1">
      <alignment vertical="top"/>
    </xf>
    <xf numFmtId="173" fontId="74" fillId="0" borderId="19" xfId="34" applyNumberFormat="1" applyFont="1" applyFill="1" applyBorder="1" applyAlignment="1">
      <alignment horizontal="left" vertical="top"/>
    </xf>
    <xf numFmtId="173" fontId="74" fillId="0" borderId="19" xfId="34" applyNumberFormat="1" applyFont="1" applyFill="1" applyBorder="1" applyAlignment="1">
      <alignment horizontal="left" vertical="center"/>
    </xf>
    <xf numFmtId="0" fontId="74" fillId="0" borderId="0" xfId="0" applyFont="1" applyFill="1" applyBorder="1" applyAlignment="1">
      <alignment horizontal="left" vertical="center"/>
    </xf>
    <xf numFmtId="170" fontId="74" fillId="0" borderId="7" xfId="2" applyNumberFormat="1" applyFont="1" applyFill="1" applyBorder="1" applyAlignment="1">
      <alignment horizontal="left" vertical="center"/>
    </xf>
    <xf numFmtId="9" fontId="74" fillId="0" borderId="7" xfId="34" applyNumberFormat="1" applyFont="1" applyFill="1" applyBorder="1" applyAlignment="1">
      <alignment horizontal="center" vertical="center"/>
    </xf>
    <xf numFmtId="170" fontId="74" fillId="0" borderId="7" xfId="2" applyNumberFormat="1" applyFont="1" applyBorder="1" applyAlignment="1">
      <alignment horizontal="center" vertical="top"/>
    </xf>
    <xf numFmtId="9" fontId="74" fillId="0" borderId="7" xfId="34" applyNumberFormat="1" applyFont="1" applyFill="1" applyBorder="1" applyAlignment="1">
      <alignment vertical="top"/>
    </xf>
    <xf numFmtId="0" fontId="74" fillId="0" borderId="37" xfId="0" applyFont="1" applyBorder="1" applyAlignment="1">
      <alignment horizontal="left" vertical="center"/>
    </xf>
    <xf numFmtId="0" fontId="74" fillId="0" borderId="0" xfId="0" applyFont="1" applyBorder="1" applyAlignment="1">
      <alignment horizontal="left" vertical="center"/>
    </xf>
    <xf numFmtId="3" fontId="74" fillId="0" borderId="7" xfId="2" applyNumberFormat="1" applyFont="1" applyBorder="1" applyAlignment="1">
      <alignment horizontal="left" vertical="center"/>
    </xf>
    <xf numFmtId="173" fontId="74" fillId="0" borderId="7" xfId="1" applyNumberFormat="1" applyFont="1" applyBorder="1" applyAlignment="1">
      <alignment horizontal="left" vertical="center"/>
    </xf>
    <xf numFmtId="173" fontId="74" fillId="0" borderId="19" xfId="34" applyNumberFormat="1" applyFont="1" applyBorder="1" applyAlignment="1">
      <alignment horizontal="left" vertical="center"/>
    </xf>
    <xf numFmtId="9" fontId="74" fillId="0" borderId="7" xfId="9" applyFont="1" applyBorder="1" applyAlignment="1">
      <alignment horizontal="center" vertical="center"/>
    </xf>
    <xf numFmtId="0" fontId="74" fillId="0" borderId="7" xfId="0" applyFont="1" applyBorder="1" applyAlignment="1">
      <alignment vertical="top"/>
    </xf>
    <xf numFmtId="0" fontId="74" fillId="0" borderId="0" xfId="2" applyNumberFormat="1" applyFont="1" applyBorder="1" applyAlignment="1">
      <alignment horizontal="center" vertical="top"/>
    </xf>
    <xf numFmtId="3" fontId="74" fillId="0" borderId="7" xfId="2" applyNumberFormat="1" applyFont="1" applyBorder="1" applyAlignment="1">
      <alignment horizontal="center" vertical="top"/>
    </xf>
    <xf numFmtId="3" fontId="74" fillId="0" borderId="7" xfId="2" applyNumberFormat="1" applyFont="1" applyBorder="1" applyAlignment="1">
      <alignment horizontal="center" vertical="center"/>
    </xf>
    <xf numFmtId="0" fontId="74" fillId="0" borderId="0" xfId="0" applyFont="1" applyBorder="1" applyAlignment="1">
      <alignment horizontal="left" vertical="center" wrapText="1"/>
    </xf>
    <xf numFmtId="173" fontId="74" fillId="0" borderId="7" xfId="34" applyNumberFormat="1" applyFont="1" applyBorder="1" applyAlignment="1">
      <alignment horizontal="left" vertical="center"/>
    </xf>
    <xf numFmtId="173" fontId="74" fillId="0" borderId="12" xfId="34" applyNumberFormat="1" applyFont="1" applyBorder="1" applyAlignment="1">
      <alignment horizontal="left" vertical="center"/>
    </xf>
    <xf numFmtId="0" fontId="76" fillId="0" borderId="20" xfId="0" applyFont="1" applyFill="1" applyBorder="1" applyAlignment="1">
      <alignment horizontal="center" vertical="top" wrapText="1"/>
    </xf>
    <xf numFmtId="0" fontId="76" fillId="0" borderId="5" xfId="0" applyFont="1" applyFill="1" applyBorder="1" applyAlignment="1">
      <alignment horizontal="left" vertical="top" wrapText="1"/>
    </xf>
    <xf numFmtId="0" fontId="76" fillId="0" borderId="5" xfId="0" applyFont="1" applyFill="1" applyBorder="1" applyAlignment="1">
      <alignment horizontal="left" vertical="top"/>
    </xf>
    <xf numFmtId="3" fontId="76" fillId="0" borderId="5" xfId="0" applyNumberFormat="1" applyFont="1" applyFill="1" applyBorder="1" applyAlignment="1">
      <alignment horizontal="center" vertical="top"/>
    </xf>
    <xf numFmtId="3" fontId="76" fillId="0" borderId="11" xfId="4" applyNumberFormat="1" applyFont="1" applyFill="1" applyBorder="1" applyAlignment="1">
      <alignment vertical="top"/>
    </xf>
    <xf numFmtId="173" fontId="76" fillId="0" borderId="16" xfId="1" applyNumberFormat="1" applyFont="1" applyFill="1" applyBorder="1" applyAlignment="1">
      <alignment vertical="top"/>
    </xf>
    <xf numFmtId="0" fontId="70" fillId="0" borderId="37" xfId="0" applyFont="1" applyFill="1" applyBorder="1" applyAlignment="1">
      <alignment horizontal="center" vertical="top"/>
    </xf>
    <xf numFmtId="173" fontId="70" fillId="0" borderId="12" xfId="1" applyNumberFormat="1" applyFont="1" applyFill="1" applyBorder="1" applyAlignment="1">
      <alignment vertical="top"/>
    </xf>
    <xf numFmtId="0" fontId="76" fillId="0" borderId="3" xfId="0" applyFont="1" applyFill="1" applyBorder="1" applyAlignment="1">
      <alignment horizontal="center" vertical="top"/>
    </xf>
    <xf numFmtId="0" fontId="76" fillId="0" borderId="4" xfId="0" applyFont="1" applyFill="1" applyBorder="1" applyAlignment="1">
      <alignment vertical="top" wrapText="1"/>
    </xf>
    <xf numFmtId="0" fontId="76" fillId="0" borderId="4" xfId="0" applyFont="1" applyFill="1" applyBorder="1" applyAlignment="1">
      <alignment horizontal="left" vertical="top"/>
    </xf>
    <xf numFmtId="3" fontId="76" fillId="0" borderId="4" xfId="0" applyNumberFormat="1" applyFont="1" applyFill="1" applyBorder="1" applyAlignment="1">
      <alignment horizontal="center" vertical="top"/>
    </xf>
    <xf numFmtId="3" fontId="76" fillId="0" borderId="6" xfId="4" applyNumberFormat="1" applyFont="1" applyFill="1" applyBorder="1" applyAlignment="1">
      <alignment vertical="top"/>
    </xf>
    <xf numFmtId="173" fontId="76" fillId="0" borderId="17" xfId="1" applyNumberFormat="1" applyFont="1" applyFill="1" applyBorder="1" applyAlignment="1">
      <alignment vertical="top"/>
    </xf>
    <xf numFmtId="0" fontId="76" fillId="0" borderId="20" xfId="0" applyFont="1" applyBorder="1" applyAlignment="1">
      <alignment horizontal="center" vertical="center"/>
    </xf>
    <xf numFmtId="0" fontId="76" fillId="0" borderId="5" xfId="0" applyFont="1" applyBorder="1" applyAlignment="1">
      <alignment horizontal="left" vertical="center"/>
    </xf>
    <xf numFmtId="0" fontId="76" fillId="0" borderId="5" xfId="0" applyFont="1" applyBorder="1" applyAlignment="1">
      <alignment horizontal="center" vertical="center"/>
    </xf>
    <xf numFmtId="1" fontId="76" fillId="0" borderId="5" xfId="0" applyNumberFormat="1" applyFont="1" applyBorder="1" applyAlignment="1">
      <alignment vertical="center"/>
    </xf>
    <xf numFmtId="169" fontId="76" fillId="0" borderId="5" xfId="1" applyNumberFormat="1" applyFont="1" applyBorder="1" applyAlignment="1">
      <alignment vertical="center"/>
    </xf>
    <xf numFmtId="173" fontId="76" fillId="0" borderId="18" xfId="1" applyNumberFormat="1" applyFont="1" applyBorder="1" applyAlignment="1">
      <alignment horizontal="right" vertical="center"/>
    </xf>
    <xf numFmtId="0" fontId="76" fillId="0" borderId="3" xfId="0" applyFont="1" applyBorder="1" applyAlignment="1">
      <alignment horizontal="center" vertical="top"/>
    </xf>
    <xf numFmtId="0" fontId="76" fillId="0" borderId="4" xfId="0" applyFont="1" applyBorder="1" applyAlignment="1">
      <alignment horizontal="left"/>
    </xf>
    <xf numFmtId="0" fontId="76" fillId="0" borderId="4" xfId="0" applyFont="1" applyBorder="1" applyAlignment="1">
      <alignment horizontal="center" vertical="center"/>
    </xf>
    <xf numFmtId="3" fontId="76" fillId="0" borderId="4" xfId="0" applyNumberFormat="1" applyFont="1" applyBorder="1" applyAlignment="1">
      <alignment horizontal="right" vertical="center"/>
    </xf>
    <xf numFmtId="3" fontId="76" fillId="0" borderId="4" xfId="0" applyNumberFormat="1" applyFont="1" applyBorder="1" applyAlignment="1">
      <alignment horizontal="center" vertical="center"/>
    </xf>
    <xf numFmtId="173" fontId="76" fillId="0" borderId="21" xfId="1" applyNumberFormat="1" applyFont="1" applyBorder="1" applyAlignment="1">
      <alignment horizontal="right" vertical="center"/>
    </xf>
    <xf numFmtId="0" fontId="81" fillId="0" borderId="7" xfId="0" applyFont="1" applyBorder="1" applyAlignment="1">
      <alignment vertical="top" wrapText="1"/>
    </xf>
    <xf numFmtId="0" fontId="74" fillId="0" borderId="0" xfId="0" applyFont="1" applyBorder="1" applyAlignment="1">
      <alignment horizontal="center" vertical="center"/>
    </xf>
    <xf numFmtId="173" fontId="74" fillId="0" borderId="7" xfId="34" applyNumberFormat="1" applyFont="1" applyBorder="1" applyAlignment="1">
      <alignment vertical="center"/>
    </xf>
    <xf numFmtId="3" fontId="74" fillId="0" borderId="7" xfId="2" applyNumberFormat="1" applyFont="1" applyFill="1" applyBorder="1" applyAlignment="1">
      <alignment horizontal="center" vertical="top"/>
    </xf>
    <xf numFmtId="9" fontId="74" fillId="0" borderId="7" xfId="9" applyFont="1" applyFill="1" applyBorder="1" applyAlignment="1">
      <alignment vertical="top"/>
    </xf>
    <xf numFmtId="173" fontId="74" fillId="0" borderId="12" xfId="34" applyNumberFormat="1" applyFont="1" applyBorder="1" applyAlignment="1">
      <alignment vertical="top"/>
    </xf>
    <xf numFmtId="173" fontId="76" fillId="0" borderId="12" xfId="2" applyNumberFormat="1" applyFont="1" applyFill="1" applyBorder="1" applyAlignment="1">
      <alignment horizontal="right" vertical="top" wrapText="1"/>
    </xf>
    <xf numFmtId="0" fontId="70" fillId="0" borderId="37" xfId="0" applyFont="1" applyBorder="1" applyAlignment="1">
      <alignment horizontal="center" vertical="top" wrapText="1"/>
    </xf>
    <xf numFmtId="0" fontId="70" fillId="0" borderId="0" xfId="0" applyFont="1" applyBorder="1" applyAlignment="1">
      <alignment horizontal="center" vertical="center" wrapText="1"/>
    </xf>
    <xf numFmtId="3" fontId="70" fillId="0" borderId="7" xfId="0" applyNumberFormat="1" applyFont="1" applyBorder="1" applyAlignment="1">
      <alignment horizontal="right" vertical="center" wrapText="1"/>
    </xf>
    <xf numFmtId="3" fontId="70" fillId="0" borderId="7" xfId="4" applyNumberFormat="1" applyFont="1" applyBorder="1" applyAlignment="1">
      <alignment horizontal="center" vertical="center" wrapText="1"/>
    </xf>
    <xf numFmtId="173" fontId="70" fillId="0" borderId="19" xfId="1" applyNumberFormat="1" applyFont="1" applyBorder="1" applyAlignment="1">
      <alignment horizontal="right" vertical="center" wrapText="1"/>
    </xf>
    <xf numFmtId="173" fontId="74" fillId="0" borderId="19" xfId="34" applyNumberFormat="1" applyFont="1" applyBorder="1" applyAlignment="1">
      <alignment horizontal="left" vertical="top"/>
    </xf>
    <xf numFmtId="0" fontId="81" fillId="0" borderId="7" xfId="0" applyFont="1" applyFill="1" applyBorder="1" applyAlignment="1">
      <alignment vertical="top" wrapText="1"/>
    </xf>
    <xf numFmtId="0" fontId="74" fillId="0" borderId="7" xfId="2" applyNumberFormat="1" applyFont="1" applyBorder="1" applyAlignment="1">
      <alignment horizontal="center" vertical="center"/>
    </xf>
    <xf numFmtId="9" fontId="74" fillId="0" borderId="7" xfId="1" applyNumberFormat="1" applyFont="1" applyBorder="1" applyAlignment="1">
      <alignment vertical="top"/>
    </xf>
    <xf numFmtId="0" fontId="74" fillId="0" borderId="2" xfId="0" applyFont="1" applyBorder="1" applyAlignment="1">
      <alignment horizontal="center" vertical="top"/>
    </xf>
    <xf numFmtId="0" fontId="74" fillId="0" borderId="7" xfId="0" applyFont="1" applyBorder="1" applyAlignment="1">
      <alignment horizontal="center" vertical="center"/>
    </xf>
    <xf numFmtId="170" fontId="74" fillId="0" borderId="7" xfId="2" applyNumberFormat="1" applyFont="1" applyBorder="1" applyAlignment="1">
      <alignment horizontal="center" vertical="center"/>
    </xf>
    <xf numFmtId="43" fontId="74" fillId="0" borderId="7" xfId="1" applyFont="1" applyBorder="1" applyAlignment="1">
      <alignment vertical="center"/>
    </xf>
    <xf numFmtId="43" fontId="74" fillId="0" borderId="7" xfId="2" applyFont="1" applyBorder="1" applyAlignment="1">
      <alignment vertical="top"/>
    </xf>
    <xf numFmtId="10" fontId="74" fillId="0" borderId="7" xfId="34" applyNumberFormat="1" applyFont="1" applyBorder="1" applyAlignment="1">
      <alignment vertical="top"/>
    </xf>
    <xf numFmtId="0" fontId="74" fillId="0" borderId="7" xfId="0" applyFont="1" applyBorder="1" applyAlignment="1">
      <alignment horizontal="center" vertical="top"/>
    </xf>
    <xf numFmtId="170" fontId="74" fillId="0" borderId="7" xfId="0" applyNumberFormat="1" applyFont="1" applyBorder="1" applyAlignment="1">
      <alignment horizontal="center" vertical="top"/>
    </xf>
    <xf numFmtId="167" fontId="74" fillId="0" borderId="7" xfId="34" applyNumberFormat="1" applyFont="1" applyBorder="1" applyAlignment="1">
      <alignment vertical="top"/>
    </xf>
    <xf numFmtId="0" fontId="78" fillId="0" borderId="7" xfId="0" applyFont="1" applyBorder="1" applyAlignment="1">
      <alignment horizontal="left" vertical="top" wrapText="1"/>
    </xf>
    <xf numFmtId="173" fontId="78" fillId="0" borderId="19" xfId="34" applyNumberFormat="1" applyFont="1" applyBorder="1" applyAlignment="1">
      <alignment vertical="top"/>
    </xf>
    <xf numFmtId="173" fontId="74" fillId="0" borderId="19" xfId="34" applyNumberFormat="1" applyFont="1" applyBorder="1" applyAlignment="1">
      <alignment vertical="center"/>
    </xf>
    <xf numFmtId="3" fontId="74" fillId="0" borderId="7" xfId="2" applyNumberFormat="1" applyFont="1" applyFill="1" applyBorder="1" applyAlignment="1">
      <alignment horizontal="center" vertical="center"/>
    </xf>
    <xf numFmtId="0" fontId="74" fillId="3" borderId="0" xfId="0" applyFont="1" applyFill="1" applyAlignment="1">
      <alignment vertical="top"/>
    </xf>
    <xf numFmtId="0" fontId="76" fillId="0" borderId="7" xfId="0" applyFont="1" applyBorder="1" applyAlignment="1">
      <alignment vertical="top" wrapText="1"/>
    </xf>
    <xf numFmtId="0" fontId="82" fillId="0" borderId="7" xfId="0" applyFont="1" applyBorder="1" applyAlignment="1">
      <alignment vertical="top" wrapText="1"/>
    </xf>
    <xf numFmtId="173" fontId="74" fillId="0" borderId="7" xfId="85" applyNumberFormat="1" applyFont="1" applyBorder="1" applyAlignment="1">
      <alignment vertical="top"/>
    </xf>
    <xf numFmtId="0" fontId="74" fillId="0" borderId="9" xfId="0" applyFont="1" applyBorder="1" applyAlignment="1">
      <alignment vertical="top" wrapText="1"/>
    </xf>
    <xf numFmtId="0" fontId="70" fillId="0" borderId="7" xfId="0" applyFont="1" applyBorder="1" applyAlignment="1">
      <alignment horizontal="left" vertical="top" wrapText="1"/>
    </xf>
    <xf numFmtId="0" fontId="76" fillId="0" borderId="7" xfId="18" applyFont="1" applyBorder="1" applyAlignment="1">
      <alignment horizontal="left" wrapText="1"/>
    </xf>
    <xf numFmtId="173" fontId="74" fillId="0" borderId="12" xfId="34" applyNumberFormat="1" applyFont="1" applyBorder="1" applyAlignment="1">
      <alignment horizontal="left" vertical="top"/>
    </xf>
    <xf numFmtId="0" fontId="76" fillId="0" borderId="2" xfId="0" applyFont="1" applyFill="1" applyBorder="1" applyAlignment="1">
      <alignment horizontal="center" vertical="top" wrapText="1"/>
    </xf>
    <xf numFmtId="0" fontId="76" fillId="0" borderId="7" xfId="0" applyFont="1" applyFill="1" applyBorder="1" applyAlignment="1">
      <alignment horizontal="left" vertical="top" wrapText="1"/>
    </xf>
    <xf numFmtId="0" fontId="76" fillId="0" borderId="7" xfId="0" applyFont="1" applyFill="1" applyBorder="1" applyAlignment="1">
      <alignment horizontal="left" vertical="top"/>
    </xf>
    <xf numFmtId="3" fontId="76" fillId="0" borderId="7" xfId="0" applyNumberFormat="1" applyFont="1" applyFill="1" applyBorder="1" applyAlignment="1">
      <alignment horizontal="center" vertical="top"/>
    </xf>
    <xf numFmtId="3" fontId="76" fillId="0" borderId="7" xfId="4" applyNumberFormat="1" applyFont="1" applyFill="1" applyBorder="1" applyAlignment="1">
      <alignment vertical="top"/>
    </xf>
    <xf numFmtId="173" fontId="76" fillId="0" borderId="12" xfId="1" applyNumberFormat="1" applyFont="1" applyFill="1" applyBorder="1" applyAlignment="1">
      <alignment vertical="top"/>
    </xf>
    <xf numFmtId="0" fontId="74" fillId="0" borderId="0" xfId="0" applyFont="1" applyAlignment="1">
      <alignment horizontal="center" vertical="top"/>
    </xf>
    <xf numFmtId="0" fontId="74" fillId="0" borderId="0" xfId="0" applyFont="1" applyAlignment="1">
      <alignment vertical="top" wrapText="1"/>
    </xf>
    <xf numFmtId="0" fontId="74" fillId="0" borderId="0" xfId="2" applyNumberFormat="1" applyFont="1" applyAlignment="1">
      <alignment horizontal="center" vertical="top"/>
    </xf>
    <xf numFmtId="173" fontId="74" fillId="0" borderId="0" xfId="34" applyNumberFormat="1" applyFont="1" applyAlignment="1">
      <alignment vertical="top"/>
    </xf>
    <xf numFmtId="0" fontId="76" fillId="0" borderId="37" xfId="0" applyFont="1" applyFill="1" applyBorder="1" applyAlignment="1">
      <alignment horizontal="center" vertical="top"/>
    </xf>
    <xf numFmtId="0" fontId="76" fillId="0" borderId="0" xfId="0" applyFont="1" applyFill="1" applyBorder="1" applyAlignment="1">
      <alignment vertical="top" wrapText="1"/>
    </xf>
    <xf numFmtId="0" fontId="76" fillId="0" borderId="0" xfId="0" applyFont="1" applyFill="1" applyBorder="1" applyAlignment="1">
      <alignment horizontal="left" vertical="top"/>
    </xf>
    <xf numFmtId="3" fontId="76" fillId="0" borderId="0" xfId="0" applyNumberFormat="1" applyFont="1" applyFill="1" applyBorder="1" applyAlignment="1">
      <alignment horizontal="center" vertical="top"/>
    </xf>
    <xf numFmtId="3" fontId="76" fillId="0" borderId="1" xfId="4" applyNumberFormat="1" applyFont="1" applyFill="1" applyBorder="1" applyAlignment="1">
      <alignment vertical="top"/>
    </xf>
    <xf numFmtId="0" fontId="74" fillId="0" borderId="2" xfId="0" applyFont="1" applyBorder="1" applyAlignment="1">
      <alignment horizontal="center" vertical="center"/>
    </xf>
    <xf numFmtId="0" fontId="74" fillId="0" borderId="37" xfId="0" applyFont="1" applyBorder="1" applyAlignment="1">
      <alignment horizontal="center" vertical="center"/>
    </xf>
    <xf numFmtId="173" fontId="74" fillId="0" borderId="7" xfId="2" applyNumberFormat="1" applyFont="1" applyBorder="1" applyAlignment="1">
      <alignment horizontal="center" vertical="top"/>
    </xf>
    <xf numFmtId="173" fontId="74" fillId="0" borderId="7" xfId="34" applyNumberFormat="1" applyFont="1" applyBorder="1" applyAlignment="1">
      <alignment horizontal="right" vertical="center"/>
    </xf>
    <xf numFmtId="173" fontId="74" fillId="0" borderId="12" xfId="34" applyNumberFormat="1" applyFont="1" applyBorder="1" applyAlignment="1">
      <alignment horizontal="right" vertical="center"/>
    </xf>
    <xf numFmtId="173" fontId="74" fillId="0" borderId="19" xfId="34" applyNumberFormat="1" applyFont="1" applyBorder="1" applyAlignment="1">
      <alignment horizontal="right" vertical="center"/>
    </xf>
    <xf numFmtId="170" fontId="74" fillId="0" borderId="7" xfId="0" applyNumberFormat="1" applyFont="1" applyBorder="1" applyAlignment="1">
      <alignment horizontal="center" vertical="center"/>
    </xf>
    <xf numFmtId="0" fontId="74" fillId="0" borderId="0" xfId="0" applyFont="1" applyBorder="1" applyAlignment="1">
      <alignment vertical="top"/>
    </xf>
    <xf numFmtId="0" fontId="63" fillId="2" borderId="20" xfId="0" applyNumberFormat="1" applyFont="1" applyFill="1" applyBorder="1" applyAlignment="1">
      <alignment horizontal="center" vertical="top" wrapText="1"/>
    </xf>
    <xf numFmtId="0" fontId="63" fillId="2" borderId="5" xfId="0" applyNumberFormat="1" applyFont="1" applyFill="1" applyBorder="1" applyAlignment="1">
      <alignment horizontal="center" vertical="top" wrapText="1"/>
    </xf>
    <xf numFmtId="3" fontId="63" fillId="2" borderId="5" xfId="0" applyNumberFormat="1" applyFont="1" applyFill="1" applyBorder="1" applyAlignment="1">
      <alignment horizontal="center" vertical="top" wrapText="1"/>
    </xf>
    <xf numFmtId="0" fontId="63" fillId="2" borderId="18" xfId="0" applyNumberFormat="1" applyFont="1" applyFill="1" applyBorder="1" applyAlignment="1">
      <alignment horizontal="center" vertical="top" wrapText="1"/>
    </xf>
    <xf numFmtId="0" fontId="63" fillId="2" borderId="0" xfId="0" applyNumberFormat="1" applyFont="1" applyFill="1" applyBorder="1" applyAlignment="1">
      <alignment horizontal="center" vertical="top" wrapText="1"/>
    </xf>
    <xf numFmtId="0" fontId="76" fillId="2" borderId="0" xfId="0" applyFont="1" applyFill="1" applyBorder="1"/>
    <xf numFmtId="0" fontId="76" fillId="2" borderId="37" xfId="0" applyFont="1" applyFill="1" applyBorder="1" applyAlignment="1">
      <alignment horizontal="center" vertical="top"/>
    </xf>
    <xf numFmtId="0" fontId="76" fillId="2" borderId="0" xfId="0" applyFont="1" applyFill="1" applyBorder="1" applyAlignment="1">
      <alignment horizontal="center"/>
    </xf>
    <xf numFmtId="3" fontId="76" fillId="2" borderId="0" xfId="0" applyNumberFormat="1" applyFont="1" applyFill="1" applyBorder="1" applyAlignment="1">
      <alignment horizontal="right"/>
    </xf>
    <xf numFmtId="3" fontId="76" fillId="2" borderId="0" xfId="0" applyNumberFormat="1" applyFont="1" applyFill="1" applyBorder="1" applyAlignment="1">
      <alignment horizontal="center"/>
    </xf>
    <xf numFmtId="4" fontId="76" fillId="2" borderId="19" xfId="1" applyNumberFormat="1" applyFont="1" applyFill="1" applyBorder="1"/>
    <xf numFmtId="0" fontId="70" fillId="2" borderId="13" xfId="0" applyFont="1" applyFill="1" applyBorder="1" applyAlignment="1">
      <alignment horizontal="center" vertical="top" wrapText="1"/>
    </xf>
    <xf numFmtId="0" fontId="70" fillId="2" borderId="10" xfId="0" applyFont="1" applyFill="1" applyBorder="1" applyAlignment="1">
      <alignment horizontal="center" vertical="top" wrapText="1"/>
    </xf>
    <xf numFmtId="3" fontId="70" fillId="2" borderId="10" xfId="0" applyNumberFormat="1" applyFont="1" applyFill="1" applyBorder="1" applyAlignment="1">
      <alignment horizontal="right" vertical="top" wrapText="1"/>
    </xf>
    <xf numFmtId="3" fontId="70" fillId="2" borderId="10" xfId="4" applyNumberFormat="1" applyFont="1" applyFill="1" applyBorder="1" applyAlignment="1">
      <alignment horizontal="center" vertical="top" wrapText="1"/>
    </xf>
    <xf numFmtId="4" fontId="70" fillId="2" borderId="14" xfId="1" applyNumberFormat="1" applyFont="1" applyFill="1" applyBorder="1" applyAlignment="1">
      <alignment horizontal="center" vertical="top" wrapText="1"/>
    </xf>
    <xf numFmtId="0" fontId="70" fillId="2" borderId="2" xfId="0" applyFont="1" applyFill="1" applyBorder="1" applyAlignment="1">
      <alignment horizontal="center" vertical="top"/>
    </xf>
    <xf numFmtId="0" fontId="70" fillId="2" borderId="1" xfId="0" applyNumberFormat="1" applyFont="1" applyFill="1" applyBorder="1" applyAlignment="1">
      <alignment vertical="top" wrapText="1"/>
    </xf>
    <xf numFmtId="0" fontId="76" fillId="2" borderId="7" xfId="0" applyNumberFormat="1" applyFont="1" applyFill="1" applyBorder="1" applyAlignment="1">
      <alignment horizontal="center" vertical="top"/>
    </xf>
    <xf numFmtId="3" fontId="76" fillId="2" borderId="7" xfId="0" applyNumberFormat="1" applyFont="1" applyFill="1" applyBorder="1" applyAlignment="1">
      <alignment horizontal="right" vertical="top"/>
    </xf>
    <xf numFmtId="3" fontId="76" fillId="2" borderId="7" xfId="4" applyNumberFormat="1" applyFont="1" applyFill="1" applyBorder="1" applyAlignment="1">
      <alignment vertical="top"/>
    </xf>
    <xf numFmtId="4" fontId="76" fillId="2" borderId="12" xfId="1" applyNumberFormat="1" applyFont="1" applyFill="1" applyBorder="1" applyAlignment="1">
      <alignment vertical="top"/>
    </xf>
    <xf numFmtId="0" fontId="70" fillId="0" borderId="70" xfId="13" applyFont="1" applyFill="1" applyBorder="1" applyAlignment="1">
      <alignment horizontal="center" vertical="top" wrapText="1"/>
    </xf>
    <xf numFmtId="0" fontId="70" fillId="0" borderId="52" xfId="13" applyFont="1" applyFill="1" applyBorder="1" applyAlignment="1">
      <alignment horizontal="left" vertical="top" wrapText="1"/>
    </xf>
    <xf numFmtId="169" fontId="76" fillId="0" borderId="52" xfId="134" applyNumberFormat="1" applyFont="1" applyFill="1" applyBorder="1" applyAlignment="1">
      <alignment horizontal="center" wrapText="1"/>
    </xf>
    <xf numFmtId="4" fontId="76" fillId="0" borderId="52" xfId="14" applyNumberFormat="1" applyFont="1" applyFill="1" applyBorder="1" applyAlignment="1">
      <alignment horizontal="center" wrapText="1"/>
    </xf>
    <xf numFmtId="43" fontId="76" fillId="0" borderId="52" xfId="129" applyFont="1" applyFill="1" applyBorder="1" applyAlignment="1" applyProtection="1">
      <alignment horizontal="center" wrapText="1"/>
      <protection locked="0"/>
    </xf>
    <xf numFmtId="43" fontId="76" fillId="0" borderId="71" xfId="14" applyFont="1" applyFill="1" applyBorder="1" applyAlignment="1" applyProtection="1">
      <alignment horizontal="center" wrapText="1"/>
      <protection locked="0"/>
    </xf>
    <xf numFmtId="0" fontId="76" fillId="0" borderId="70" xfId="13" applyFont="1" applyFill="1" applyBorder="1" applyAlignment="1">
      <alignment horizontal="center" vertical="top" wrapText="1"/>
    </xf>
    <xf numFmtId="0" fontId="81" fillId="0" borderId="52" xfId="13" applyFont="1" applyFill="1" applyBorder="1" applyAlignment="1">
      <alignment horizontal="left" vertical="top" wrapText="1"/>
    </xf>
    <xf numFmtId="3" fontId="76" fillId="0" borderId="52" xfId="14" applyNumberFormat="1" applyFont="1" applyFill="1" applyBorder="1" applyAlignment="1">
      <alignment horizontal="center" wrapText="1"/>
    </xf>
    <xf numFmtId="0" fontId="83" fillId="0" borderId="52" xfId="13" applyFont="1" applyFill="1" applyBorder="1" applyAlignment="1">
      <alignment horizontal="left" vertical="top" wrapText="1"/>
    </xf>
    <xf numFmtId="0" fontId="76" fillId="0" borderId="70" xfId="13" applyFont="1" applyFill="1" applyBorder="1" applyAlignment="1">
      <alignment horizontal="center" wrapText="1"/>
    </xf>
    <xf numFmtId="0" fontId="81" fillId="0" borderId="52" xfId="13" applyFont="1" applyFill="1" applyBorder="1" applyAlignment="1">
      <alignment horizontal="left" wrapText="1"/>
    </xf>
    <xf numFmtId="0" fontId="76" fillId="0" borderId="52" xfId="0" applyFont="1" applyFill="1" applyBorder="1" applyAlignment="1">
      <alignment horizontal="left" vertical="top" wrapText="1"/>
    </xf>
    <xf numFmtId="0" fontId="76" fillId="0" borderId="52" xfId="13" applyFont="1" applyFill="1" applyBorder="1" applyAlignment="1">
      <alignment horizontal="center" wrapText="1"/>
    </xf>
    <xf numFmtId="43" fontId="76" fillId="0" borderId="71" xfId="14" applyFont="1" applyFill="1" applyBorder="1" applyAlignment="1" applyProtection="1">
      <alignment horizontal="center" wrapText="1"/>
    </xf>
    <xf numFmtId="0" fontId="76" fillId="0" borderId="52" xfId="13" applyFont="1" applyFill="1" applyBorder="1" applyAlignment="1">
      <alignment horizontal="left" vertical="top" wrapText="1"/>
    </xf>
    <xf numFmtId="0" fontId="76" fillId="2" borderId="2" xfId="0" applyFont="1" applyFill="1" applyBorder="1" applyAlignment="1">
      <alignment horizontal="center" vertical="top" wrapText="1"/>
    </xf>
    <xf numFmtId="0" fontId="76" fillId="2" borderId="1" xfId="0" applyFont="1" applyFill="1" applyBorder="1" applyAlignment="1">
      <alignment horizontal="left" vertical="top" wrapText="1"/>
    </xf>
    <xf numFmtId="0" fontId="76" fillId="2" borderId="1" xfId="0" applyFont="1" applyFill="1" applyBorder="1" applyAlignment="1">
      <alignment horizontal="center" vertical="top" wrapText="1"/>
    </xf>
    <xf numFmtId="3" fontId="76" fillId="2" borderId="1" xfId="0" applyNumberFormat="1" applyFont="1" applyFill="1" applyBorder="1" applyAlignment="1">
      <alignment horizontal="right" vertical="top" wrapText="1"/>
    </xf>
    <xf numFmtId="0" fontId="63" fillId="0" borderId="52" xfId="13" applyFont="1" applyFill="1" applyBorder="1" applyAlignment="1">
      <alignment horizontal="left" wrapText="1"/>
    </xf>
    <xf numFmtId="0" fontId="84" fillId="0" borderId="52" xfId="13" applyFont="1" applyFill="1" applyBorder="1" applyAlignment="1">
      <alignment horizontal="left" wrapText="1"/>
    </xf>
    <xf numFmtId="171" fontId="76" fillId="0" borderId="52" xfId="14" applyNumberFormat="1" applyFont="1" applyFill="1" applyBorder="1" applyAlignment="1">
      <alignment horizontal="center" wrapText="1"/>
    </xf>
    <xf numFmtId="43" fontId="76" fillId="0" borderId="52" xfId="129" applyFont="1" applyFill="1" applyBorder="1" applyAlignment="1" applyProtection="1">
      <alignment horizontal="center" wrapText="1"/>
    </xf>
    <xf numFmtId="0" fontId="76" fillId="0" borderId="52" xfId="13" applyFont="1" applyFill="1" applyBorder="1" applyAlignment="1">
      <alignment horizontal="left" wrapText="1"/>
    </xf>
    <xf numFmtId="0" fontId="63" fillId="0" borderId="70" xfId="13" applyFont="1" applyFill="1" applyBorder="1" applyAlignment="1">
      <alignment horizontal="center" vertical="top" wrapText="1"/>
    </xf>
    <xf numFmtId="0" fontId="63" fillId="0" borderId="52" xfId="32" applyFont="1" applyFill="1" applyBorder="1" applyAlignment="1">
      <alignment horizontal="left" vertical="top" wrapText="1"/>
    </xf>
    <xf numFmtId="4" fontId="76" fillId="0" borderId="52" xfId="14" applyNumberFormat="1" applyFont="1" applyFill="1" applyBorder="1" applyAlignment="1">
      <alignment horizontal="center"/>
    </xf>
    <xf numFmtId="0" fontId="76" fillId="0" borderId="70" xfId="13" applyFont="1" applyFill="1" applyBorder="1" applyAlignment="1">
      <alignment horizontal="center" vertical="center" wrapText="1"/>
    </xf>
    <xf numFmtId="0" fontId="76" fillId="0" borderId="52" xfId="13" applyFont="1" applyFill="1" applyBorder="1" applyAlignment="1">
      <alignment horizontal="left" vertical="center" wrapText="1"/>
    </xf>
    <xf numFmtId="0" fontId="70" fillId="0" borderId="70" xfId="13" applyFont="1" applyFill="1" applyBorder="1" applyAlignment="1">
      <alignment horizontal="center" vertical="center" wrapText="1"/>
    </xf>
    <xf numFmtId="0" fontId="70" fillId="0" borderId="52" xfId="13" applyFont="1" applyFill="1" applyBorder="1" applyAlignment="1">
      <alignment horizontal="left" vertical="center" wrapText="1"/>
    </xf>
    <xf numFmtId="43" fontId="82" fillId="2" borderId="0" xfId="111" applyFont="1" applyFill="1" applyBorder="1" applyAlignment="1" applyProtection="1">
      <alignment horizontal="center" vertical="center"/>
      <protection locked="0"/>
    </xf>
    <xf numFmtId="43" fontId="82" fillId="2" borderId="0" xfId="111" applyFont="1" applyFill="1" applyBorder="1" applyAlignment="1" applyProtection="1">
      <alignment vertical="center"/>
      <protection locked="0"/>
    </xf>
    <xf numFmtId="43" fontId="82" fillId="2" borderId="39" xfId="111" applyFont="1" applyFill="1" applyBorder="1" applyAlignment="1" applyProtection="1">
      <alignment horizontal="center" vertical="center"/>
      <protection locked="0"/>
    </xf>
    <xf numFmtId="43" fontId="82" fillId="2" borderId="7" xfId="111" applyFont="1" applyFill="1" applyBorder="1" applyAlignment="1" applyProtection="1">
      <alignment horizontal="center" vertical="center"/>
      <protection locked="0"/>
    </xf>
    <xf numFmtId="43" fontId="82" fillId="2" borderId="33" xfId="111" applyFont="1" applyFill="1" applyBorder="1" applyAlignment="1" applyProtection="1">
      <alignment horizontal="center" vertical="center"/>
      <protection locked="0"/>
    </xf>
    <xf numFmtId="176" fontId="82" fillId="2" borderId="7" xfId="111" applyNumberFormat="1" applyFont="1" applyFill="1" applyBorder="1" applyAlignment="1" applyProtection="1">
      <alignment vertical="center"/>
      <protection locked="0"/>
    </xf>
    <xf numFmtId="0" fontId="82" fillId="2" borderId="0" xfId="112" applyFont="1" applyFill="1"/>
    <xf numFmtId="0" fontId="76" fillId="0" borderId="52" xfId="13" applyFont="1" applyFill="1" applyBorder="1" applyAlignment="1">
      <alignment horizontal="center" vertical="center" wrapText="1"/>
    </xf>
    <xf numFmtId="3" fontId="76" fillId="0" borderId="52" xfId="14" applyNumberFormat="1" applyFont="1" applyFill="1" applyBorder="1" applyAlignment="1">
      <alignment horizontal="center" vertical="center"/>
    </xf>
    <xf numFmtId="43" fontId="76" fillId="2" borderId="0" xfId="111" applyFont="1" applyFill="1" applyBorder="1" applyAlignment="1" applyProtection="1">
      <alignment horizontal="center" vertical="center"/>
      <protection locked="0"/>
    </xf>
    <xf numFmtId="43" fontId="76" fillId="2" borderId="0" xfId="111" applyFont="1" applyFill="1" applyBorder="1" applyAlignment="1" applyProtection="1">
      <alignment vertical="center"/>
      <protection locked="0"/>
    </xf>
    <xf numFmtId="43" fontId="76" fillId="2" borderId="39" xfId="111" applyFont="1" applyFill="1" applyBorder="1" applyAlignment="1" applyProtection="1">
      <alignment horizontal="center" vertical="center"/>
      <protection locked="0"/>
    </xf>
    <xf numFmtId="43" fontId="76" fillId="2" borderId="7" xfId="111" applyFont="1" applyFill="1" applyBorder="1" applyAlignment="1" applyProtection="1">
      <alignment horizontal="center" vertical="center"/>
      <protection locked="0"/>
    </xf>
    <xf numFmtId="43" fontId="76" fillId="2" borderId="33" xfId="111" applyFont="1" applyFill="1" applyBorder="1" applyAlignment="1" applyProtection="1">
      <alignment horizontal="center" vertical="center"/>
      <protection locked="0"/>
    </xf>
    <xf numFmtId="176" fontId="76" fillId="2" borderId="7" xfId="111" applyNumberFormat="1" applyFont="1" applyFill="1" applyBorder="1" applyAlignment="1" applyProtection="1">
      <alignment vertical="center"/>
      <protection locked="0"/>
    </xf>
    <xf numFmtId="0" fontId="81" fillId="2" borderId="0" xfId="112" applyFont="1" applyFill="1"/>
    <xf numFmtId="0" fontId="76" fillId="2" borderId="20" xfId="0" applyFont="1" applyFill="1" applyBorder="1" applyAlignment="1">
      <alignment horizontal="center" vertical="top" wrapText="1"/>
    </xf>
    <xf numFmtId="0" fontId="76" fillId="2" borderId="5" xfId="0" applyFont="1" applyFill="1" applyBorder="1" applyAlignment="1">
      <alignment horizontal="left" vertical="top" wrapText="1"/>
    </xf>
    <xf numFmtId="0" fontId="76" fillId="2" borderId="5" xfId="0" applyFont="1" applyFill="1" applyBorder="1" applyAlignment="1">
      <alignment horizontal="left" vertical="top"/>
    </xf>
    <xf numFmtId="3" fontId="76" fillId="2" borderId="5" xfId="0" applyNumberFormat="1" applyFont="1" applyFill="1" applyBorder="1" applyAlignment="1">
      <alignment horizontal="right" vertical="top"/>
    </xf>
    <xf numFmtId="3" fontId="76" fillId="2" borderId="11" xfId="4" applyNumberFormat="1" applyFont="1" applyFill="1" applyBorder="1" applyAlignment="1">
      <alignment vertical="top"/>
    </xf>
    <xf numFmtId="0" fontId="76" fillId="2" borderId="0" xfId="0" applyFont="1" applyFill="1"/>
    <xf numFmtId="0" fontId="70" fillId="2" borderId="37" xfId="0" applyFont="1" applyFill="1" applyBorder="1" applyAlignment="1">
      <alignment horizontal="center" vertical="top"/>
    </xf>
    <xf numFmtId="0" fontId="70" fillId="2" borderId="0" xfId="0" applyFont="1" applyFill="1" applyBorder="1" applyAlignment="1">
      <alignment vertical="top" wrapText="1"/>
    </xf>
    <xf numFmtId="0" fontId="70" fillId="2" borderId="0" xfId="0" applyNumberFormat="1" applyFont="1" applyFill="1" applyBorder="1" applyAlignment="1">
      <alignment horizontal="left" vertical="top"/>
    </xf>
    <xf numFmtId="3" fontId="70" fillId="2" borderId="0" xfId="1" applyNumberFormat="1" applyFont="1" applyFill="1" applyBorder="1" applyAlignment="1">
      <alignment horizontal="right" vertical="top"/>
    </xf>
    <xf numFmtId="3" fontId="70" fillId="2" borderId="1" xfId="1" applyNumberFormat="1" applyFont="1" applyFill="1" applyBorder="1" applyAlignment="1">
      <alignment vertical="top"/>
    </xf>
    <xf numFmtId="0" fontId="76" fillId="2" borderId="3" xfId="0" applyFont="1" applyFill="1" applyBorder="1" applyAlignment="1">
      <alignment horizontal="center" vertical="top"/>
    </xf>
    <xf numFmtId="0" fontId="76" fillId="2" borderId="4" xfId="0" applyFont="1" applyFill="1" applyBorder="1" applyAlignment="1">
      <alignment vertical="top" wrapText="1"/>
    </xf>
    <xf numFmtId="0" fontId="76" fillId="2" borderId="4" xfId="0" applyFont="1" applyFill="1" applyBorder="1" applyAlignment="1">
      <alignment horizontal="left" vertical="top"/>
    </xf>
    <xf numFmtId="3" fontId="76" fillId="2" borderId="4" xfId="0" applyNumberFormat="1" applyFont="1" applyFill="1" applyBorder="1" applyAlignment="1">
      <alignment horizontal="right" vertical="top"/>
    </xf>
    <xf numFmtId="3" fontId="76" fillId="2" borderId="6" xfId="4" applyNumberFormat="1" applyFont="1" applyFill="1" applyBorder="1" applyAlignment="1">
      <alignment vertical="top"/>
    </xf>
    <xf numFmtId="0" fontId="76" fillId="2" borderId="8" xfId="86" applyFont="1" applyFill="1" applyBorder="1" applyAlignment="1">
      <alignment horizontal="center" vertical="top"/>
    </xf>
    <xf numFmtId="0" fontId="84" fillId="2" borderId="9" xfId="86" applyFont="1" applyFill="1" applyBorder="1" applyAlignment="1">
      <alignment vertical="top" wrapText="1"/>
    </xf>
    <xf numFmtId="175" fontId="76" fillId="2" borderId="9" xfId="86" applyNumberFormat="1" applyFont="1" applyFill="1" applyBorder="1" applyAlignment="1" applyProtection="1">
      <alignment horizontal="center" vertical="center"/>
      <protection locked="0"/>
    </xf>
    <xf numFmtId="3" fontId="76" fillId="2" borderId="9" xfId="111" applyNumberFormat="1" applyFont="1" applyFill="1" applyBorder="1" applyAlignment="1">
      <alignment horizontal="right" vertical="center"/>
    </xf>
    <xf numFmtId="169" fontId="76" fillId="2" borderId="9" xfId="111" applyNumberFormat="1" applyFont="1" applyFill="1" applyBorder="1" applyAlignment="1" applyProtection="1">
      <alignment horizontal="center" vertical="center"/>
      <protection locked="0"/>
    </xf>
    <xf numFmtId="0" fontId="70" fillId="0" borderId="52" xfId="13" applyFont="1" applyFill="1" applyBorder="1" applyAlignment="1">
      <alignment horizontal="left" wrapText="1"/>
    </xf>
    <xf numFmtId="0" fontId="81" fillId="2" borderId="37" xfId="112" applyFont="1" applyFill="1" applyBorder="1"/>
    <xf numFmtId="43" fontId="76" fillId="2" borderId="52" xfId="129" applyFont="1" applyFill="1" applyBorder="1" applyAlignment="1" applyProtection="1">
      <alignment horizontal="center" wrapText="1"/>
      <protection locked="0"/>
    </xf>
    <xf numFmtId="0" fontId="76" fillId="0" borderId="52" xfId="32" applyFont="1" applyFill="1" applyBorder="1" applyAlignment="1">
      <alignment horizontal="left" vertical="top" wrapText="1"/>
    </xf>
    <xf numFmtId="176" fontId="76" fillId="2" borderId="0" xfId="111" applyNumberFormat="1" applyFont="1" applyFill="1" applyBorder="1" applyAlignment="1" applyProtection="1">
      <alignment vertical="center"/>
      <protection locked="0"/>
    </xf>
    <xf numFmtId="0" fontId="70" fillId="0" borderId="52" xfId="32" applyFont="1" applyFill="1" applyBorder="1" applyAlignment="1">
      <alignment horizontal="left" vertical="top" wrapText="1"/>
    </xf>
    <xf numFmtId="0" fontId="76" fillId="0" borderId="82" xfId="13" applyFont="1" applyFill="1" applyBorder="1" applyAlignment="1">
      <alignment horizontal="center" vertical="center" wrapText="1"/>
    </xf>
    <xf numFmtId="43" fontId="76" fillId="0" borderId="82" xfId="129" applyFont="1" applyFill="1" applyBorder="1" applyAlignment="1" applyProtection="1">
      <alignment horizontal="center" vertical="center" wrapText="1"/>
      <protection locked="0"/>
    </xf>
    <xf numFmtId="0" fontId="81" fillId="0" borderId="0" xfId="0" applyFont="1" applyFill="1" applyBorder="1" applyAlignment="1">
      <alignment vertical="center"/>
    </xf>
    <xf numFmtId="0" fontId="81" fillId="0" borderId="0" xfId="0" applyFont="1" applyFill="1" applyAlignment="1">
      <alignment vertical="center"/>
    </xf>
    <xf numFmtId="0" fontId="63" fillId="0" borderId="52" xfId="13" applyFont="1" applyFill="1" applyBorder="1" applyAlignment="1">
      <alignment horizontal="left" vertical="center" wrapText="1"/>
    </xf>
    <xf numFmtId="4" fontId="76" fillId="0" borderId="52" xfId="14" applyNumberFormat="1" applyFont="1" applyFill="1" applyBorder="1" applyAlignment="1">
      <alignment horizontal="center" vertical="center" wrapText="1"/>
    </xf>
    <xf numFmtId="43" fontId="76" fillId="0" borderId="52" xfId="129" applyFont="1" applyFill="1" applyBorder="1" applyAlignment="1" applyProtection="1">
      <alignment horizontal="center" vertical="center" wrapText="1"/>
      <protection locked="0"/>
    </xf>
    <xf numFmtId="3" fontId="76" fillId="0" borderId="52" xfId="14" applyNumberFormat="1" applyFont="1" applyFill="1" applyBorder="1" applyAlignment="1">
      <alignment horizontal="center" vertical="center" wrapText="1"/>
    </xf>
    <xf numFmtId="0" fontId="76" fillId="0" borderId="81" xfId="13" applyFont="1" applyFill="1" applyBorder="1" applyAlignment="1">
      <alignment horizontal="center" vertical="top" wrapText="1"/>
    </xf>
    <xf numFmtId="0" fontId="76" fillId="0" borderId="82" xfId="13" applyFont="1" applyFill="1" applyBorder="1" applyAlignment="1">
      <alignment horizontal="left" vertical="center" wrapText="1"/>
    </xf>
    <xf numFmtId="3" fontId="76" fillId="0" borderId="82" xfId="14" applyNumberFormat="1" applyFont="1" applyFill="1" applyBorder="1" applyAlignment="1">
      <alignment horizontal="center" vertical="center" wrapText="1"/>
    </xf>
    <xf numFmtId="0" fontId="81" fillId="0" borderId="0" xfId="0" applyFont="1" applyFill="1" applyBorder="1"/>
    <xf numFmtId="0" fontId="81" fillId="0" borderId="0" xfId="0" applyFont="1" applyFill="1"/>
    <xf numFmtId="0" fontId="85" fillId="0" borderId="52" xfId="13" applyFont="1" applyFill="1" applyBorder="1" applyAlignment="1">
      <alignment horizontal="left" vertical="top" wrapText="1"/>
    </xf>
    <xf numFmtId="4" fontId="76" fillId="0" borderId="52" xfId="14" applyNumberFormat="1" applyFont="1" applyFill="1" applyBorder="1" applyAlignment="1">
      <alignment horizontal="center" vertical="center"/>
    </xf>
    <xf numFmtId="0" fontId="70" fillId="2" borderId="8" xfId="0" applyFont="1" applyFill="1" applyBorder="1" applyAlignment="1">
      <alignment horizontal="center" vertical="top" wrapText="1"/>
    </xf>
    <xf numFmtId="0" fontId="70" fillId="2" borderId="9" xfId="0" applyFont="1" applyFill="1" applyBorder="1" applyAlignment="1">
      <alignment horizontal="center" vertical="top" wrapText="1"/>
    </xf>
    <xf numFmtId="3" fontId="70" fillId="2" borderId="9" xfId="0" applyNumberFormat="1" applyFont="1" applyFill="1" applyBorder="1" applyAlignment="1">
      <alignment horizontal="right" vertical="top" wrapText="1"/>
    </xf>
    <xf numFmtId="3" fontId="70" fillId="2" borderId="9" xfId="4" applyNumberFormat="1" applyFont="1" applyFill="1" applyBorder="1" applyAlignment="1">
      <alignment horizontal="center" vertical="top" wrapText="1"/>
    </xf>
    <xf numFmtId="0" fontId="76" fillId="2" borderId="0" xfId="15" applyFont="1" applyFill="1" applyBorder="1" applyAlignment="1">
      <alignment vertical="center"/>
    </xf>
    <xf numFmtId="0" fontId="76" fillId="2" borderId="0" xfId="112" applyFont="1" applyFill="1" applyBorder="1"/>
    <xf numFmtId="0" fontId="82" fillId="2" borderId="0" xfId="0" applyFont="1" applyFill="1" applyBorder="1"/>
    <xf numFmtId="0" fontId="76" fillId="2" borderId="2" xfId="86" applyFont="1" applyFill="1" applyBorder="1" applyAlignment="1">
      <alignment horizontal="center" vertical="top"/>
    </xf>
    <xf numFmtId="0" fontId="76" fillId="2" borderId="7" xfId="86" applyFont="1" applyFill="1" applyBorder="1" applyAlignment="1">
      <alignment horizontal="left" wrapText="1"/>
    </xf>
    <xf numFmtId="175" fontId="76" fillId="2" borderId="7" xfId="87" applyNumberFormat="1" applyFont="1" applyFill="1" applyBorder="1" applyAlignment="1" applyProtection="1">
      <alignment horizontal="center" vertical="center"/>
      <protection locked="0"/>
    </xf>
    <xf numFmtId="3" fontId="76" fillId="2" borderId="7" xfId="111" applyNumberFormat="1" applyFont="1" applyFill="1" applyBorder="1" applyAlignment="1">
      <alignment horizontal="center" vertical="center"/>
    </xf>
    <xf numFmtId="169" fontId="76" fillId="2" borderId="7" xfId="111" applyNumberFormat="1" applyFont="1" applyFill="1" applyBorder="1" applyAlignment="1" applyProtection="1">
      <alignment vertical="center"/>
      <protection locked="0"/>
    </xf>
    <xf numFmtId="0" fontId="70" fillId="2" borderId="3" xfId="0" applyFont="1" applyFill="1" applyBorder="1" applyAlignment="1">
      <alignment horizontal="center" vertical="top"/>
    </xf>
    <xf numFmtId="0" fontId="70" fillId="2" borderId="4" xfId="0" applyFont="1" applyFill="1" applyBorder="1" applyAlignment="1">
      <alignment vertical="top" wrapText="1"/>
    </xf>
    <xf numFmtId="0" fontId="70" fillId="2" borderId="4" xfId="0" applyNumberFormat="1" applyFont="1" applyFill="1" applyBorder="1" applyAlignment="1">
      <alignment horizontal="left" vertical="top"/>
    </xf>
    <xf numFmtId="3" fontId="70" fillId="2" borderId="4" xfId="1" applyNumberFormat="1" applyFont="1" applyFill="1" applyBorder="1" applyAlignment="1">
      <alignment horizontal="right" vertical="top"/>
    </xf>
    <xf numFmtId="3" fontId="70" fillId="2" borderId="6" xfId="1" applyNumberFormat="1" applyFont="1" applyFill="1" applyBorder="1" applyAlignment="1">
      <alignment vertical="top"/>
    </xf>
    <xf numFmtId="0" fontId="76" fillId="2" borderId="8" xfId="0" applyFont="1" applyFill="1" applyBorder="1" applyAlignment="1">
      <alignment horizontal="center" vertical="top"/>
    </xf>
    <xf numFmtId="0" fontId="76" fillId="2" borderId="11" xfId="0" applyFont="1" applyFill="1" applyBorder="1" applyAlignment="1">
      <alignment vertical="top" wrapText="1"/>
    </xf>
    <xf numFmtId="0" fontId="76" fillId="2" borderId="9" xfId="0" applyFont="1" applyFill="1" applyBorder="1" applyAlignment="1">
      <alignment horizontal="center" vertical="top"/>
    </xf>
    <xf numFmtId="3" fontId="76" fillId="2" borderId="9" xfId="0" applyNumberFormat="1" applyFont="1" applyFill="1" applyBorder="1" applyAlignment="1">
      <alignment horizontal="right" vertical="top"/>
    </xf>
    <xf numFmtId="3" fontId="76" fillId="2" borderId="9" xfId="4" applyNumberFormat="1" applyFont="1" applyFill="1" applyBorder="1" applyAlignment="1">
      <alignment vertical="top"/>
    </xf>
    <xf numFmtId="11" fontId="76" fillId="2" borderId="2" xfId="0" applyNumberFormat="1" applyFont="1" applyFill="1" applyBorder="1" applyAlignment="1">
      <alignment horizontal="center" vertical="top" wrapText="1"/>
    </xf>
    <xf numFmtId="0" fontId="76" fillId="2" borderId="1" xfId="0" applyNumberFormat="1" applyFont="1" applyFill="1" applyBorder="1" applyAlignment="1">
      <alignment vertical="top" wrapText="1"/>
    </xf>
    <xf numFmtId="0" fontId="76" fillId="2" borderId="7" xfId="0" applyNumberFormat="1" applyFont="1" applyFill="1" applyBorder="1" applyAlignment="1">
      <alignment horizontal="center" vertical="top" wrapText="1"/>
    </xf>
    <xf numFmtId="3" fontId="76" fillId="2" borderId="7" xfId="1" applyNumberFormat="1" applyFont="1" applyFill="1" applyBorder="1" applyAlignment="1">
      <alignment horizontal="right" vertical="top" wrapText="1"/>
    </xf>
    <xf numFmtId="3" fontId="76" fillId="2" borderId="7" xfId="1" applyNumberFormat="1" applyFont="1" applyFill="1" applyBorder="1" applyAlignment="1">
      <alignment vertical="top" wrapText="1"/>
    </xf>
    <xf numFmtId="4" fontId="70" fillId="2" borderId="12" xfId="1" applyNumberFormat="1" applyFont="1" applyFill="1" applyBorder="1" applyAlignment="1">
      <alignment vertical="top" wrapText="1"/>
    </xf>
    <xf numFmtId="4" fontId="76" fillId="2" borderId="16" xfId="1" applyNumberFormat="1" applyFont="1" applyFill="1" applyBorder="1" applyAlignment="1">
      <alignment vertical="top"/>
    </xf>
    <xf numFmtId="4" fontId="70" fillId="2" borderId="12" xfId="1" applyNumberFormat="1" applyFont="1" applyFill="1" applyBorder="1" applyAlignment="1">
      <alignment vertical="top"/>
    </xf>
    <xf numFmtId="4" fontId="76" fillId="2" borderId="17" xfId="1" applyNumberFormat="1" applyFont="1" applyFill="1" applyBorder="1" applyAlignment="1">
      <alignment vertical="top"/>
    </xf>
    <xf numFmtId="3" fontId="76" fillId="2" borderId="4" xfId="4" applyNumberFormat="1" applyFont="1" applyFill="1" applyBorder="1" applyAlignment="1">
      <alignment vertical="top"/>
    </xf>
    <xf numFmtId="4" fontId="76" fillId="2" borderId="21" xfId="1" applyNumberFormat="1" applyFont="1" applyFill="1" applyBorder="1" applyAlignment="1">
      <alignment vertical="top"/>
    </xf>
    <xf numFmtId="3" fontId="76" fillId="2" borderId="0" xfId="0" applyNumberFormat="1" applyFont="1" applyFill="1" applyBorder="1"/>
    <xf numFmtId="169" fontId="76" fillId="2" borderId="0" xfId="1" applyNumberFormat="1" applyFont="1" applyFill="1" applyBorder="1"/>
    <xf numFmtId="4" fontId="76" fillId="2" borderId="0" xfId="1" applyNumberFormat="1" applyFont="1" applyFill="1" applyBorder="1"/>
    <xf numFmtId="0" fontId="70" fillId="0" borderId="79" xfId="13" applyFont="1" applyFill="1" applyBorder="1" applyAlignment="1">
      <alignment horizontal="center" vertical="top" wrapText="1"/>
    </xf>
    <xf numFmtId="0" fontId="63" fillId="0" borderId="89" xfId="13" applyFont="1" applyFill="1" applyBorder="1" applyAlignment="1">
      <alignment horizontal="left" vertical="center" wrapText="1"/>
    </xf>
    <xf numFmtId="0" fontId="76" fillId="0" borderId="89" xfId="13" applyFont="1" applyFill="1" applyBorder="1" applyAlignment="1">
      <alignment horizontal="center" vertical="center" wrapText="1"/>
    </xf>
    <xf numFmtId="4" fontId="76" fillId="0" borderId="89" xfId="14" applyNumberFormat="1" applyFont="1" applyFill="1" applyBorder="1" applyAlignment="1">
      <alignment horizontal="center" vertical="center" wrapText="1"/>
    </xf>
    <xf numFmtId="43" fontId="76" fillId="0" borderId="89" xfId="129" applyFont="1" applyFill="1" applyBorder="1" applyAlignment="1" applyProtection="1">
      <alignment horizontal="center" vertical="center" wrapText="1"/>
      <protection locked="0"/>
    </xf>
    <xf numFmtId="0" fontId="76" fillId="2" borderId="61" xfId="0" applyFont="1" applyFill="1" applyBorder="1"/>
    <xf numFmtId="0" fontId="76" fillId="2" borderId="52" xfId="0" applyFont="1" applyFill="1" applyBorder="1"/>
    <xf numFmtId="0" fontId="76" fillId="2" borderId="87" xfId="0" applyFont="1" applyFill="1" applyBorder="1"/>
    <xf numFmtId="0" fontId="76" fillId="2" borderId="70" xfId="0" applyFont="1" applyFill="1" applyBorder="1" applyAlignment="1">
      <alignment horizontal="center" vertical="top"/>
    </xf>
    <xf numFmtId="0" fontId="76" fillId="2" borderId="1" xfId="0" applyFont="1" applyFill="1" applyBorder="1" applyAlignment="1">
      <alignment vertical="top" wrapText="1"/>
    </xf>
    <xf numFmtId="0" fontId="76" fillId="2" borderId="52" xfId="86" applyFont="1" applyFill="1" applyBorder="1" applyAlignment="1">
      <alignment horizontal="left" wrapText="1"/>
    </xf>
    <xf numFmtId="0" fontId="76" fillId="2" borderId="7" xfId="0" applyFont="1" applyFill="1" applyBorder="1" applyAlignment="1">
      <alignment horizontal="center" vertical="top"/>
    </xf>
    <xf numFmtId="175" fontId="76" fillId="2" borderId="52" xfId="87" applyNumberFormat="1" applyFont="1" applyFill="1" applyBorder="1" applyAlignment="1" applyProtection="1">
      <alignment horizontal="center" vertical="center"/>
      <protection locked="0"/>
    </xf>
    <xf numFmtId="3" fontId="76" fillId="2" borderId="52" xfId="0" applyNumberFormat="1" applyFont="1" applyFill="1" applyBorder="1" applyAlignment="1">
      <alignment horizontal="right" vertical="top"/>
    </xf>
    <xf numFmtId="3" fontId="76" fillId="2" borderId="52" xfId="4" applyNumberFormat="1" applyFont="1" applyFill="1" applyBorder="1" applyAlignment="1">
      <alignment vertical="top"/>
    </xf>
    <xf numFmtId="169" fontId="76" fillId="2" borderId="16" xfId="111" applyNumberFormat="1" applyFont="1" applyFill="1" applyBorder="1" applyAlignment="1" applyProtection="1">
      <alignment horizontal="center" vertical="center"/>
      <protection locked="0"/>
    </xf>
    <xf numFmtId="0" fontId="63" fillId="0" borderId="82" xfId="32" applyFont="1" applyFill="1" applyBorder="1" applyAlignment="1">
      <alignment horizontal="left" vertical="top" wrapText="1"/>
    </xf>
    <xf numFmtId="0" fontId="76" fillId="0" borderId="82" xfId="13" applyFont="1" applyFill="1" applyBorder="1" applyAlignment="1">
      <alignment horizontal="center" wrapText="1"/>
    </xf>
    <xf numFmtId="4" fontId="76" fillId="0" borderId="82" xfId="14" applyNumberFormat="1" applyFont="1" applyFill="1" applyBorder="1" applyAlignment="1">
      <alignment horizontal="center"/>
    </xf>
    <xf numFmtId="43" fontId="76" fillId="0" borderId="82" xfId="129" applyFont="1" applyFill="1" applyBorder="1" applyAlignment="1" applyProtection="1">
      <alignment horizontal="center" wrapText="1"/>
      <protection locked="0"/>
    </xf>
    <xf numFmtId="43" fontId="76" fillId="0" borderId="83" xfId="14" applyFont="1" applyFill="1" applyBorder="1" applyAlignment="1" applyProtection="1">
      <alignment horizontal="center" wrapText="1"/>
    </xf>
    <xf numFmtId="0" fontId="76" fillId="2" borderId="70" xfId="0" applyFont="1" applyFill="1" applyBorder="1"/>
    <xf numFmtId="0" fontId="76" fillId="2" borderId="71" xfId="0" applyFont="1" applyFill="1" applyBorder="1"/>
    <xf numFmtId="43" fontId="76" fillId="0" borderId="92" xfId="129" applyFont="1" applyFill="1" applyBorder="1" applyAlignment="1" applyProtection="1">
      <alignment horizontal="center" vertical="center" wrapText="1"/>
      <protection locked="0"/>
    </xf>
    <xf numFmtId="43" fontId="76" fillId="0" borderId="71" xfId="129" applyFont="1" applyFill="1" applyBorder="1" applyAlignment="1" applyProtection="1">
      <alignment horizontal="center" vertical="center" wrapText="1"/>
      <protection locked="0"/>
    </xf>
    <xf numFmtId="43" fontId="76" fillId="0" borderId="83" xfId="129" applyFont="1" applyFill="1" applyBorder="1" applyAlignment="1" applyProtection="1">
      <alignment horizontal="center" vertical="center" wrapText="1"/>
      <protection locked="0"/>
    </xf>
    <xf numFmtId="43" fontId="76" fillId="0" borderId="71" xfId="14" applyFont="1" applyFill="1" applyBorder="1" applyAlignment="1" applyProtection="1">
      <alignment horizontal="center" vertical="center" wrapText="1"/>
    </xf>
    <xf numFmtId="4" fontId="70" fillId="2" borderId="16" xfId="1" applyNumberFormat="1" applyFont="1" applyFill="1" applyBorder="1" applyAlignment="1">
      <alignment horizontal="center" vertical="top" wrapText="1"/>
    </xf>
    <xf numFmtId="4" fontId="70" fillId="2" borderId="17" xfId="1" applyNumberFormat="1" applyFont="1" applyFill="1" applyBorder="1" applyAlignment="1">
      <alignment vertical="top"/>
    </xf>
    <xf numFmtId="0" fontId="70" fillId="0" borderId="81" xfId="13" applyFont="1" applyFill="1" applyBorder="1" applyAlignment="1">
      <alignment horizontal="center" vertical="center" wrapText="1"/>
    </xf>
    <xf numFmtId="0" fontId="70" fillId="0" borderId="82" xfId="13" applyFont="1" applyFill="1" applyBorder="1" applyAlignment="1">
      <alignment horizontal="left" vertical="center" wrapText="1"/>
    </xf>
    <xf numFmtId="4" fontId="76" fillId="0" borderId="82" xfId="14" applyNumberFormat="1" applyFont="1" applyFill="1" applyBorder="1" applyAlignment="1">
      <alignment horizontal="center" wrapText="1"/>
    </xf>
    <xf numFmtId="169" fontId="76" fillId="2" borderId="71" xfId="111" applyNumberFormat="1" applyFont="1" applyFill="1" applyBorder="1" applyAlignment="1" applyProtection="1">
      <alignment vertical="center"/>
      <protection locked="0"/>
    </xf>
    <xf numFmtId="0" fontId="76" fillId="0" borderId="82" xfId="13" applyFont="1" applyFill="1" applyBorder="1" applyAlignment="1">
      <alignment horizontal="left" wrapText="1"/>
    </xf>
    <xf numFmtId="169" fontId="76" fillId="2" borderId="12" xfId="111" applyNumberFormat="1" applyFont="1" applyFill="1" applyBorder="1" applyAlignment="1" applyProtection="1">
      <alignment vertical="center"/>
      <protection locked="0"/>
    </xf>
    <xf numFmtId="0" fontId="76" fillId="0" borderId="20" xfId="73" applyFont="1" applyBorder="1" applyAlignment="1">
      <alignment horizontal="left"/>
    </xf>
    <xf numFmtId="0" fontId="76" fillId="0" borderId="5" xfId="73" applyFont="1" applyBorder="1" applyAlignment="1">
      <alignment horizontal="left" vertical="top"/>
    </xf>
    <xf numFmtId="0" fontId="76" fillId="0" borderId="5" xfId="73" applyFont="1" applyBorder="1" applyAlignment="1">
      <alignment horizontal="center" vertical="center"/>
    </xf>
    <xf numFmtId="1" fontId="76" fillId="0" borderId="5" xfId="73" applyNumberFormat="1" applyFont="1" applyFill="1" applyBorder="1" applyAlignment="1">
      <alignment horizontal="right" vertical="center"/>
    </xf>
    <xf numFmtId="169" fontId="76" fillId="0" borderId="5" xfId="73" applyNumberFormat="1" applyFont="1" applyFill="1" applyBorder="1" applyAlignment="1">
      <alignment horizontal="right" vertical="center"/>
    </xf>
    <xf numFmtId="169" fontId="76" fillId="0" borderId="18" xfId="1" applyNumberFormat="1" applyFont="1" applyBorder="1" applyAlignment="1">
      <alignment horizontal="right"/>
    </xf>
    <xf numFmtId="3" fontId="76" fillId="0" borderId="66" xfId="73" applyNumberFormat="1" applyFont="1" applyBorder="1" applyAlignment="1" applyProtection="1">
      <alignment horizontal="center"/>
    </xf>
    <xf numFmtId="0" fontId="76" fillId="0" borderId="0" xfId="73" applyFont="1" applyAlignment="1" applyProtection="1">
      <alignment horizontal="left"/>
    </xf>
    <xf numFmtId="0" fontId="76" fillId="0" borderId="37" xfId="73" quotePrefix="1" applyFont="1" applyBorder="1" applyAlignment="1" applyProtection="1">
      <alignment horizontal="left"/>
    </xf>
    <xf numFmtId="169" fontId="76" fillId="0" borderId="19" xfId="1" applyNumberFormat="1" applyFont="1" applyFill="1" applyBorder="1" applyAlignment="1" applyProtection="1">
      <alignment horizontal="right"/>
    </xf>
    <xf numFmtId="3" fontId="76" fillId="0" borderId="39" xfId="73" applyNumberFormat="1" applyFont="1" applyBorder="1" applyAlignment="1" applyProtection="1">
      <alignment horizontal="center"/>
    </xf>
    <xf numFmtId="0" fontId="63" fillId="0" borderId="0" xfId="82" applyFont="1" applyFill="1" applyBorder="1" applyAlignment="1" applyProtection="1">
      <alignment horizontal="center" vertical="center" wrapText="1"/>
    </xf>
    <xf numFmtId="169" fontId="63" fillId="0" borderId="0" xfId="82" applyNumberFormat="1" applyFont="1" applyFill="1" applyBorder="1" applyAlignment="1" applyProtection="1">
      <alignment horizontal="center" vertical="center" wrapText="1"/>
    </xf>
    <xf numFmtId="0" fontId="70" fillId="0" borderId="74" xfId="73" applyFont="1" applyBorder="1" applyAlignment="1" applyProtection="1">
      <alignment horizontal="center"/>
    </xf>
    <xf numFmtId="0" fontId="70" fillId="0" borderId="59" xfId="73" applyFont="1" applyBorder="1" applyAlignment="1" applyProtection="1">
      <alignment horizontal="center" vertical="top"/>
    </xf>
    <xf numFmtId="0" fontId="70" fillId="0" borderId="59" xfId="73" applyFont="1" applyBorder="1" applyAlignment="1" applyProtection="1">
      <alignment horizontal="center" vertical="center"/>
    </xf>
    <xf numFmtId="1" fontId="70" fillId="0" borderId="59" xfId="73" applyNumberFormat="1" applyFont="1" applyFill="1" applyBorder="1" applyAlignment="1" applyProtection="1">
      <alignment horizontal="center" vertical="center"/>
    </xf>
    <xf numFmtId="4" fontId="70" fillId="0" borderId="59" xfId="73" applyNumberFormat="1" applyFont="1" applyBorder="1" applyAlignment="1" applyProtection="1">
      <alignment horizontal="center"/>
    </xf>
    <xf numFmtId="43" fontId="70" fillId="0" borderId="75" xfId="129" applyFont="1" applyBorder="1" applyAlignment="1" applyProtection="1">
      <alignment horizontal="center"/>
    </xf>
    <xf numFmtId="4" fontId="70" fillId="0" borderId="65" xfId="73" applyNumberFormat="1" applyFont="1" applyBorder="1" applyAlignment="1" applyProtection="1">
      <alignment horizontal="center"/>
    </xf>
    <xf numFmtId="0" fontId="70" fillId="0" borderId="76" xfId="73" applyFont="1" applyBorder="1" applyAlignment="1" applyProtection="1">
      <alignment horizontal="center"/>
    </xf>
    <xf numFmtId="0" fontId="70" fillId="0" borderId="53" xfId="73" applyFont="1" applyBorder="1" applyAlignment="1" applyProtection="1">
      <alignment horizontal="left" vertical="top"/>
    </xf>
    <xf numFmtId="0" fontId="70" fillId="0" borderId="53" xfId="73" applyFont="1" applyBorder="1" applyAlignment="1" applyProtection="1">
      <alignment horizontal="center" vertical="center"/>
    </xf>
    <xf numFmtId="1" fontId="70" fillId="0" borderId="53" xfId="73" applyNumberFormat="1" applyFont="1" applyFill="1" applyBorder="1" applyAlignment="1" applyProtection="1">
      <alignment horizontal="center" vertical="center"/>
    </xf>
    <xf numFmtId="4" fontId="70" fillId="0" borderId="53" xfId="73" applyNumberFormat="1" applyFont="1" applyBorder="1" applyAlignment="1" applyProtection="1">
      <alignment horizontal="center"/>
    </xf>
    <xf numFmtId="43" fontId="70" fillId="0" borderId="77" xfId="129" applyFont="1" applyBorder="1" applyAlignment="1" applyProtection="1">
      <alignment horizontal="center"/>
    </xf>
    <xf numFmtId="3" fontId="70" fillId="0" borderId="64" xfId="73" applyNumberFormat="1" applyFont="1" applyBorder="1" applyAlignment="1" applyProtection="1">
      <alignment horizontal="center"/>
    </xf>
    <xf numFmtId="0" fontId="70" fillId="0" borderId="70" xfId="75" applyFont="1" applyBorder="1" applyAlignment="1">
      <alignment horizontal="center" vertical="top"/>
    </xf>
    <xf numFmtId="0" fontId="63" fillId="0" borderId="52" xfId="75" applyFont="1" applyBorder="1" applyAlignment="1">
      <alignment horizontal="left" vertical="top" wrapText="1"/>
    </xf>
    <xf numFmtId="0" fontId="70" fillId="0" borderId="52" xfId="75" applyFont="1" applyBorder="1" applyAlignment="1">
      <alignment horizontal="center" vertical="center"/>
    </xf>
    <xf numFmtId="169" fontId="70" fillId="0" borderId="52" xfId="50" applyNumberFormat="1" applyFont="1" applyFill="1" applyBorder="1" applyAlignment="1">
      <alignment horizontal="center" vertical="center"/>
    </xf>
    <xf numFmtId="4" fontId="70" fillId="0" borderId="52" xfId="75" applyNumberFormat="1" applyFont="1" applyBorder="1" applyAlignment="1" applyProtection="1">
      <alignment horizontal="center"/>
      <protection locked="0"/>
    </xf>
    <xf numFmtId="43" fontId="76" fillId="0" borderId="71" xfId="129" applyFont="1" applyBorder="1" applyAlignment="1" applyProtection="1">
      <alignment horizontal="center"/>
      <protection locked="0"/>
    </xf>
    <xf numFmtId="3" fontId="70" fillId="0" borderId="39" xfId="73" applyNumberFormat="1" applyFont="1" applyBorder="1" applyAlignment="1" applyProtection="1">
      <alignment horizontal="center"/>
    </xf>
    <xf numFmtId="0" fontId="70" fillId="0" borderId="70" xfId="73" applyFont="1" applyBorder="1" applyAlignment="1" applyProtection="1">
      <alignment horizontal="center" vertical="center"/>
    </xf>
    <xf numFmtId="0" fontId="63" fillId="0" borderId="52" xfId="73" applyFont="1" applyBorder="1" applyAlignment="1" applyProtection="1">
      <alignment horizontal="left" vertical="top"/>
    </xf>
    <xf numFmtId="0" fontId="76" fillId="0" borderId="52" xfId="74" applyFont="1" applyBorder="1" applyAlignment="1">
      <alignment horizontal="center"/>
    </xf>
    <xf numFmtId="0" fontId="76" fillId="0" borderId="52" xfId="74" applyFont="1" applyFill="1" applyBorder="1" applyAlignment="1">
      <alignment horizontal="left"/>
    </xf>
    <xf numFmtId="4" fontId="70" fillId="0" borderId="52" xfId="74" applyNumberFormat="1" applyFont="1" applyBorder="1" applyAlignment="1" applyProtection="1">
      <alignment horizontal="left"/>
      <protection locked="0"/>
    </xf>
    <xf numFmtId="43" fontId="76" fillId="0" borderId="71" xfId="129" applyFont="1" applyBorder="1" applyAlignment="1" applyProtection="1">
      <alignment horizontal="left"/>
      <protection locked="0"/>
    </xf>
    <xf numFmtId="3" fontId="76" fillId="0" borderId="64" xfId="73" applyNumberFormat="1" applyFont="1" applyBorder="1" applyAlignment="1" applyProtection="1">
      <alignment horizontal="center"/>
    </xf>
    <xf numFmtId="0" fontId="76" fillId="0" borderId="70" xfId="73" applyFont="1" applyBorder="1" applyAlignment="1" applyProtection="1">
      <alignment horizontal="left"/>
    </xf>
    <xf numFmtId="0" fontId="63" fillId="0" borderId="24" xfId="73" applyFont="1" applyBorder="1" applyAlignment="1" applyProtection="1">
      <alignment horizontal="left" vertical="top"/>
    </xf>
    <xf numFmtId="0" fontId="76" fillId="0" borderId="24" xfId="74" applyFont="1" applyBorder="1" applyAlignment="1">
      <alignment horizontal="center"/>
    </xf>
    <xf numFmtId="0" fontId="76" fillId="0" borderId="24" xfId="74" applyFont="1" applyFill="1" applyBorder="1" applyAlignment="1">
      <alignment horizontal="left"/>
    </xf>
    <xf numFmtId="4" fontId="70" fillId="0" borderId="24" xfId="74" applyNumberFormat="1" applyFont="1" applyBorder="1" applyAlignment="1" applyProtection="1">
      <alignment horizontal="left"/>
      <protection locked="0"/>
    </xf>
    <xf numFmtId="43" fontId="76" fillId="0" borderId="78" xfId="129" applyFont="1" applyBorder="1" applyAlignment="1" applyProtection="1">
      <alignment horizontal="left"/>
      <protection locked="0"/>
    </xf>
    <xf numFmtId="3" fontId="76" fillId="0" borderId="0" xfId="73" applyNumberFormat="1" applyFont="1" applyBorder="1" applyAlignment="1" applyProtection="1">
      <alignment horizontal="center"/>
    </xf>
    <xf numFmtId="0" fontId="70" fillId="0" borderId="79" xfId="75" applyFont="1" applyBorder="1" applyAlignment="1">
      <alignment horizontal="center" vertical="top"/>
    </xf>
    <xf numFmtId="3" fontId="76" fillId="0" borderId="63" xfId="73" applyNumberFormat="1" applyFont="1" applyBorder="1" applyAlignment="1">
      <alignment horizontal="center"/>
    </xf>
    <xf numFmtId="0" fontId="76" fillId="0" borderId="0" xfId="73" applyFont="1" applyAlignment="1">
      <alignment horizontal="left"/>
    </xf>
    <xf numFmtId="0" fontId="63" fillId="0" borderId="0" xfId="73" applyFont="1" applyBorder="1" applyAlignment="1" applyProtection="1">
      <alignment horizontal="left"/>
    </xf>
    <xf numFmtId="3" fontId="70" fillId="0" borderId="60" xfId="73" applyNumberFormat="1" applyFont="1" applyBorder="1" applyAlignment="1">
      <alignment horizontal="center"/>
    </xf>
    <xf numFmtId="0" fontId="70" fillId="0" borderId="0" xfId="73" applyFont="1" applyAlignment="1">
      <alignment horizontal="left"/>
    </xf>
    <xf numFmtId="0" fontId="76" fillId="0" borderId="70" xfId="75" applyFont="1" applyBorder="1" applyAlignment="1" applyProtection="1">
      <alignment horizontal="center" vertical="top"/>
    </xf>
    <xf numFmtId="0" fontId="76" fillId="0" borderId="52" xfId="75" applyFont="1" applyBorder="1" applyAlignment="1" applyProtection="1">
      <alignment horizontal="left" vertical="top" wrapText="1"/>
    </xf>
    <xf numFmtId="0" fontId="76" fillId="0" borderId="52" xfId="75" applyFont="1" applyBorder="1" applyAlignment="1" applyProtection="1">
      <alignment horizontal="center" vertical="center"/>
    </xf>
    <xf numFmtId="1" fontId="76" fillId="0" borderId="52" xfId="75" applyNumberFormat="1" applyFont="1" applyFill="1" applyBorder="1" applyAlignment="1" applyProtection="1">
      <alignment horizontal="center" vertical="center"/>
    </xf>
    <xf numFmtId="3" fontId="76" fillId="0" borderId="60" xfId="73" applyNumberFormat="1" applyFont="1" applyBorder="1" applyAlignment="1">
      <alignment horizontal="center"/>
    </xf>
    <xf numFmtId="0" fontId="63" fillId="0" borderId="52" xfId="73" applyFont="1" applyBorder="1" applyAlignment="1" applyProtection="1">
      <alignment horizontal="left" vertical="top" wrapText="1"/>
    </xf>
    <xf numFmtId="0" fontId="76" fillId="0" borderId="52" xfId="75" applyFont="1" applyBorder="1" applyAlignment="1">
      <alignment horizontal="center" vertical="center"/>
    </xf>
    <xf numFmtId="169" fontId="76" fillId="0" borderId="52" xfId="50" applyNumberFormat="1" applyFont="1" applyFill="1" applyBorder="1" applyAlignment="1">
      <alignment horizontal="center" vertical="center"/>
    </xf>
    <xf numFmtId="4" fontId="76" fillId="0" borderId="52" xfId="75" applyNumberFormat="1" applyFont="1" applyBorder="1" applyAlignment="1" applyProtection="1">
      <alignment horizontal="center"/>
      <protection locked="0"/>
    </xf>
    <xf numFmtId="0" fontId="76" fillId="0" borderId="52" xfId="73" applyFont="1" applyBorder="1" applyAlignment="1" applyProtection="1">
      <alignment horizontal="left" vertical="top" wrapText="1"/>
    </xf>
    <xf numFmtId="0" fontId="76" fillId="0" borderId="52" xfId="76" applyFont="1" applyFill="1" applyBorder="1" applyAlignment="1">
      <alignment horizontal="left" vertical="top" wrapText="1"/>
    </xf>
    <xf numFmtId="0" fontId="76" fillId="0" borderId="52" xfId="76" applyFont="1" applyBorder="1" applyAlignment="1">
      <alignment horizontal="left" vertical="top" wrapText="1"/>
    </xf>
    <xf numFmtId="0" fontId="76" fillId="0" borderId="70" xfId="73" applyFont="1" applyBorder="1" applyAlignment="1" applyProtection="1">
      <alignment horizontal="center" vertical="top"/>
    </xf>
    <xf numFmtId="0" fontId="76" fillId="0" borderId="52" xfId="73" applyFont="1" applyBorder="1" applyAlignment="1" applyProtection="1">
      <alignment horizontal="center" vertical="center"/>
    </xf>
    <xf numFmtId="1" fontId="76" fillId="0" borderId="52" xfId="73" applyNumberFormat="1" applyFont="1" applyFill="1" applyBorder="1" applyAlignment="1" applyProtection="1">
      <alignment horizontal="center" vertical="center"/>
    </xf>
    <xf numFmtId="0" fontId="76" fillId="0" borderId="52" xfId="73" quotePrefix="1" applyFont="1" applyBorder="1" applyAlignment="1" applyProtection="1">
      <alignment horizontal="left" vertical="top" wrapText="1"/>
    </xf>
    <xf numFmtId="0" fontId="76" fillId="2" borderId="70" xfId="73" applyFont="1" applyFill="1" applyBorder="1" applyAlignment="1" applyProtection="1">
      <alignment horizontal="center" vertical="top"/>
    </xf>
    <xf numFmtId="0" fontId="76" fillId="2" borderId="52" xfId="73" quotePrefix="1" applyFont="1" applyFill="1" applyBorder="1" applyAlignment="1" applyProtection="1">
      <alignment horizontal="left" vertical="top" wrapText="1"/>
    </xf>
    <xf numFmtId="0" fontId="76" fillId="2" borderId="52" xfId="73" applyFont="1" applyFill="1" applyBorder="1" applyAlignment="1" applyProtection="1">
      <alignment horizontal="center" vertical="center"/>
    </xf>
    <xf numFmtId="1" fontId="76" fillId="2" borderId="52" xfId="73" applyNumberFormat="1" applyFont="1" applyFill="1" applyBorder="1" applyAlignment="1" applyProtection="1">
      <alignment horizontal="center" vertical="center"/>
    </xf>
    <xf numFmtId="4" fontId="76" fillId="2" borderId="52" xfId="75" applyNumberFormat="1" applyFont="1" applyFill="1" applyBorder="1" applyAlignment="1" applyProtection="1">
      <alignment horizontal="center"/>
      <protection locked="0"/>
    </xf>
    <xf numFmtId="0" fontId="76" fillId="0" borderId="70" xfId="75" applyFont="1" applyBorder="1" applyAlignment="1">
      <alignment horizontal="center" vertical="top"/>
    </xf>
    <xf numFmtId="0" fontId="76" fillId="0" borderId="52" xfId="75" applyFont="1" applyBorder="1" applyAlignment="1">
      <alignment horizontal="left" vertical="top" wrapText="1"/>
    </xf>
    <xf numFmtId="0" fontId="76" fillId="0" borderId="52" xfId="75" applyFont="1" applyFill="1" applyBorder="1" applyAlignment="1">
      <alignment horizontal="center" vertical="center"/>
    </xf>
    <xf numFmtId="168" fontId="76" fillId="0" borderId="70" xfId="75" applyNumberFormat="1" applyFont="1" applyBorder="1" applyAlignment="1">
      <alignment horizontal="center" vertical="top"/>
    </xf>
    <xf numFmtId="0" fontId="76" fillId="0" borderId="60" xfId="73" applyFont="1" applyBorder="1" applyAlignment="1">
      <alignment horizontal="left"/>
    </xf>
    <xf numFmtId="2" fontId="76" fillId="0" borderId="70" xfId="75" applyNumberFormat="1" applyFont="1" applyBorder="1" applyAlignment="1">
      <alignment horizontal="center" vertical="top"/>
    </xf>
    <xf numFmtId="43" fontId="76" fillId="0" borderId="78" xfId="129" applyFont="1" applyBorder="1" applyAlignment="1" applyProtection="1">
      <alignment horizontal="center"/>
      <protection locked="0"/>
    </xf>
    <xf numFmtId="43" fontId="70" fillId="0" borderId="80" xfId="129" applyFont="1" applyBorder="1"/>
    <xf numFmtId="0" fontId="70" fillId="0" borderId="52" xfId="75" applyFont="1" applyBorder="1" applyAlignment="1">
      <alignment horizontal="left" vertical="top" wrapText="1"/>
    </xf>
    <xf numFmtId="0" fontId="63" fillId="0" borderId="52" xfId="11" applyFont="1" applyBorder="1" applyAlignment="1">
      <alignment vertical="top" wrapText="1"/>
    </xf>
    <xf numFmtId="0" fontId="76" fillId="0" borderId="52" xfId="13" applyFont="1" applyBorder="1" applyAlignment="1">
      <alignment horizontal="left" vertical="top" wrapText="1"/>
    </xf>
    <xf numFmtId="3" fontId="76" fillId="0" borderId="0" xfId="73" applyNumberFormat="1" applyFont="1" applyBorder="1" applyAlignment="1">
      <alignment horizontal="center"/>
    </xf>
    <xf numFmtId="0" fontId="76" fillId="0" borderId="52" xfId="75" quotePrefix="1" applyFont="1" applyBorder="1" applyAlignment="1">
      <alignment horizontal="left" vertical="top" wrapText="1"/>
    </xf>
    <xf numFmtId="0" fontId="76" fillId="0" borderId="52" xfId="75" applyFont="1" applyFill="1" applyBorder="1" applyAlignment="1">
      <alignment horizontal="left" vertical="top" wrapText="1"/>
    </xf>
    <xf numFmtId="4" fontId="76" fillId="0" borderId="52" xfId="75" applyNumberFormat="1" applyFont="1" applyBorder="1" applyAlignment="1" applyProtection="1">
      <alignment horizontal="center" vertical="center"/>
      <protection locked="0"/>
    </xf>
    <xf numFmtId="43" fontId="76" fillId="0" borderId="71" xfId="129" applyFont="1" applyBorder="1" applyAlignment="1" applyProtection="1">
      <alignment horizontal="center" vertical="center"/>
      <protection locked="0"/>
    </xf>
    <xf numFmtId="0" fontId="82" fillId="0" borderId="70" xfId="75" applyFont="1" applyBorder="1" applyAlignment="1">
      <alignment horizontal="center" vertical="top"/>
    </xf>
    <xf numFmtId="0" fontId="82" fillId="0" borderId="52" xfId="75" applyFont="1" applyFill="1" applyBorder="1" applyAlignment="1">
      <alignment horizontal="left" vertical="top" wrapText="1"/>
    </xf>
    <xf numFmtId="0" fontId="82" fillId="0" borderId="52" xfId="75" applyFont="1" applyFill="1" applyBorder="1" applyAlignment="1">
      <alignment horizontal="center" vertical="center"/>
    </xf>
    <xf numFmtId="0" fontId="76" fillId="0" borderId="52" xfId="75" quotePrefix="1" applyFont="1" applyFill="1" applyBorder="1" applyAlignment="1">
      <alignment horizontal="left" vertical="top" wrapText="1"/>
    </xf>
    <xf numFmtId="0" fontId="76" fillId="0" borderId="70" xfId="75" applyFont="1" applyFill="1" applyBorder="1" applyAlignment="1">
      <alignment horizontal="center" vertical="top"/>
    </xf>
    <xf numFmtId="0" fontId="63" fillId="0" borderId="52" xfId="76" applyFont="1" applyBorder="1" applyAlignment="1">
      <alignment horizontal="left" vertical="top" wrapText="1"/>
    </xf>
    <xf numFmtId="0" fontId="76" fillId="0" borderId="37" xfId="73" applyFont="1" applyBorder="1" applyAlignment="1">
      <alignment horizontal="left"/>
    </xf>
    <xf numFmtId="0" fontId="76" fillId="0" borderId="0" xfId="73" applyFont="1" applyBorder="1" applyAlignment="1">
      <alignment horizontal="left" vertical="top"/>
    </xf>
    <xf numFmtId="0" fontId="76" fillId="0" borderId="0" xfId="73" applyFont="1" applyBorder="1" applyAlignment="1">
      <alignment horizontal="center" vertical="center"/>
    </xf>
    <xf numFmtId="1" fontId="76" fillId="0" borderId="0" xfId="73" applyNumberFormat="1" applyFont="1" applyFill="1" applyBorder="1" applyAlignment="1">
      <alignment horizontal="center" vertical="center"/>
    </xf>
    <xf numFmtId="4" fontId="76" fillId="0" borderId="0" xfId="73" applyNumberFormat="1" applyFont="1" applyBorder="1" applyAlignment="1">
      <alignment horizontal="center"/>
    </xf>
    <xf numFmtId="3" fontId="76" fillId="0" borderId="0" xfId="73" applyNumberFormat="1" applyFont="1" applyAlignment="1">
      <alignment horizontal="center"/>
    </xf>
    <xf numFmtId="0" fontId="70" fillId="0" borderId="70" xfId="75" applyNumberFormat="1" applyFont="1" applyBorder="1" applyAlignment="1">
      <alignment horizontal="left" vertical="top" indent="1"/>
    </xf>
    <xf numFmtId="0" fontId="63" fillId="0" borderId="52" xfId="75" applyFont="1" applyFill="1" applyBorder="1" applyAlignment="1">
      <alignment horizontal="left" vertical="top" wrapText="1"/>
    </xf>
    <xf numFmtId="1" fontId="70" fillId="0" borderId="70" xfId="75" applyNumberFormat="1" applyFont="1" applyBorder="1" applyAlignment="1">
      <alignment horizontal="center" vertical="top"/>
    </xf>
    <xf numFmtId="0" fontId="70" fillId="2" borderId="52" xfId="75" applyFont="1" applyFill="1" applyBorder="1" applyAlignment="1">
      <alignment horizontal="left" vertical="top" wrapText="1"/>
    </xf>
    <xf numFmtId="2" fontId="70" fillId="0" borderId="70" xfId="75" applyNumberFormat="1" applyFont="1" applyBorder="1" applyAlignment="1">
      <alignment horizontal="center" vertical="top"/>
    </xf>
    <xf numFmtId="1" fontId="76" fillId="0" borderId="70" xfId="75" applyNumberFormat="1" applyFont="1" applyBorder="1" applyAlignment="1">
      <alignment horizontal="center" vertical="top"/>
    </xf>
    <xf numFmtId="0" fontId="76" fillId="0" borderId="52" xfId="83" applyFont="1" applyBorder="1" applyAlignment="1">
      <alignment vertical="top" wrapText="1"/>
    </xf>
    <xf numFmtId="0" fontId="70" fillId="0" borderId="81" xfId="102" quotePrefix="1" applyFont="1" applyFill="1" applyBorder="1" applyAlignment="1">
      <alignment horizontal="center" vertical="top"/>
    </xf>
    <xf numFmtId="0" fontId="63" fillId="0" borderId="82" xfId="102" applyFont="1" applyFill="1" applyBorder="1" applyAlignment="1">
      <alignment vertical="top" wrapText="1"/>
    </xf>
    <xf numFmtId="43" fontId="63" fillId="0" borderId="83" xfId="129" applyFont="1" applyFill="1" applyBorder="1" applyAlignment="1">
      <alignment vertical="top" wrapText="1"/>
    </xf>
    <xf numFmtId="0" fontId="76" fillId="0" borderId="0" xfId="51" applyFont="1" applyFill="1"/>
    <xf numFmtId="0" fontId="70" fillId="0" borderId="70" xfId="102" applyFont="1" applyFill="1" applyBorder="1" applyAlignment="1">
      <alignment horizontal="center" vertical="top"/>
    </xf>
    <xf numFmtId="0" fontId="63" fillId="0" borderId="52" xfId="102" applyFont="1" applyFill="1" applyBorder="1" applyAlignment="1">
      <alignment horizontal="left" vertical="top" wrapText="1"/>
    </xf>
    <xf numFmtId="0" fontId="76" fillId="0" borderId="52" xfId="102" applyFont="1" applyFill="1" applyBorder="1" applyAlignment="1">
      <alignment horizontal="center"/>
    </xf>
    <xf numFmtId="169" fontId="76" fillId="0" borderId="52" xfId="19" applyNumberFormat="1" applyFont="1" applyFill="1" applyBorder="1" applyAlignment="1">
      <alignment horizontal="center"/>
    </xf>
    <xf numFmtId="4" fontId="76" fillId="0" borderId="52" xfId="102" applyNumberFormat="1" applyFont="1" applyFill="1" applyBorder="1" applyAlignment="1" applyProtection="1">
      <alignment horizontal="center"/>
      <protection locked="0"/>
    </xf>
    <xf numFmtId="43" fontId="76" fillId="0" borderId="71" xfId="129" applyFont="1" applyFill="1" applyBorder="1" applyAlignment="1" applyProtection="1">
      <alignment horizontal="center"/>
      <protection locked="0"/>
    </xf>
    <xf numFmtId="3" fontId="76" fillId="0" borderId="60" xfId="73" applyNumberFormat="1" applyFont="1" applyFill="1" applyBorder="1" applyAlignment="1">
      <alignment horizontal="center"/>
    </xf>
    <xf numFmtId="0" fontId="76" fillId="0" borderId="0" xfId="73" applyFont="1" applyFill="1" applyAlignment="1">
      <alignment horizontal="left"/>
    </xf>
    <xf numFmtId="0" fontId="76" fillId="0" borderId="70" xfId="102" applyFont="1" applyFill="1" applyBorder="1" applyAlignment="1">
      <alignment horizontal="centerContinuous" vertical="top"/>
    </xf>
    <xf numFmtId="0" fontId="76" fillId="0" borderId="62" xfId="102" applyFont="1" applyFill="1" applyBorder="1" applyAlignment="1">
      <alignment horizontal="left" vertical="top" wrapText="1"/>
    </xf>
    <xf numFmtId="0" fontId="76" fillId="0" borderId="62" xfId="102" applyFont="1" applyFill="1" applyBorder="1" applyAlignment="1">
      <alignment horizontal="center"/>
    </xf>
    <xf numFmtId="0" fontId="76" fillId="0" borderId="52" xfId="77" applyFont="1" applyFill="1" applyBorder="1" applyAlignment="1">
      <alignment horizontal="left" vertical="top" wrapText="1"/>
    </xf>
    <xf numFmtId="0" fontId="76" fillId="0" borderId="52" xfId="77" applyFont="1" applyFill="1" applyBorder="1" applyAlignment="1">
      <alignment horizontal="center"/>
    </xf>
    <xf numFmtId="0" fontId="76" fillId="0" borderId="52" xfId="78" applyNumberFormat="1" applyFont="1" applyFill="1" applyBorder="1" applyAlignment="1">
      <alignment horizontal="center"/>
    </xf>
    <xf numFmtId="0" fontId="76" fillId="0" borderId="62" xfId="77" quotePrefix="1" applyFont="1" applyFill="1" applyBorder="1" applyAlignment="1">
      <alignment horizontal="left" vertical="top" wrapText="1"/>
    </xf>
    <xf numFmtId="0" fontId="76" fillId="0" borderId="62" xfId="77" applyFont="1" applyFill="1" applyBorder="1" applyAlignment="1">
      <alignment horizontal="center"/>
    </xf>
    <xf numFmtId="49" fontId="76" fillId="0" borderId="62" xfId="78" applyNumberFormat="1" applyFont="1" applyFill="1" applyBorder="1" applyAlignment="1">
      <alignment horizontal="center"/>
    </xf>
    <xf numFmtId="0" fontId="76" fillId="0" borderId="62" xfId="78" applyNumberFormat="1" applyFont="1" applyFill="1" applyBorder="1" applyAlignment="1">
      <alignment horizontal="center"/>
    </xf>
    <xf numFmtId="0" fontId="84" fillId="0" borderId="62" xfId="102" applyFont="1" applyFill="1" applyBorder="1" applyAlignment="1">
      <alignment horizontal="left" vertical="top" wrapText="1"/>
    </xf>
    <xf numFmtId="0" fontId="76" fillId="0" borderId="62" xfId="102" applyFont="1" applyFill="1" applyBorder="1" applyAlignment="1">
      <alignment vertical="top" wrapText="1"/>
    </xf>
    <xf numFmtId="0" fontId="76" fillId="0" borderId="70" xfId="102" applyFont="1" applyFill="1" applyBorder="1" applyAlignment="1">
      <alignment horizontal="center" vertical="top"/>
    </xf>
    <xf numFmtId="0" fontId="84" fillId="0" borderId="52" xfId="102" applyFont="1" applyFill="1" applyBorder="1" applyAlignment="1">
      <alignment horizontal="left" vertical="top" wrapText="1"/>
    </xf>
    <xf numFmtId="0" fontId="76" fillId="0" borderId="52" xfId="102" applyFont="1" applyFill="1" applyBorder="1" applyAlignment="1">
      <alignment horizontal="left" vertical="top" wrapText="1"/>
    </xf>
    <xf numFmtId="49" fontId="76" fillId="0" borderId="70" xfId="102" applyNumberFormat="1" applyFont="1" applyFill="1" applyBorder="1" applyAlignment="1" applyProtection="1">
      <alignment horizontal="center" vertical="top"/>
    </xf>
    <xf numFmtId="0" fontId="76" fillId="0" borderId="52" xfId="102" applyFont="1" applyFill="1" applyBorder="1" applyAlignment="1" applyProtection="1">
      <alignment vertical="top" wrapText="1"/>
    </xf>
    <xf numFmtId="3" fontId="76" fillId="0" borderId="52" xfId="102" applyNumberFormat="1" applyFont="1" applyFill="1" applyBorder="1" applyAlignment="1" applyProtection="1">
      <alignment horizontal="center" wrapText="1"/>
    </xf>
    <xf numFmtId="0" fontId="76" fillId="0" borderId="52" xfId="102" quotePrefix="1" applyFont="1" applyFill="1" applyBorder="1" applyAlignment="1" applyProtection="1">
      <alignment vertical="top" wrapText="1"/>
    </xf>
    <xf numFmtId="43" fontId="70" fillId="0" borderId="80" xfId="129" applyFont="1" applyFill="1" applyBorder="1"/>
    <xf numFmtId="0" fontId="76" fillId="0" borderId="70" xfId="77" applyFont="1" applyFill="1" applyBorder="1" applyAlignment="1">
      <alignment horizontal="center" vertical="top"/>
    </xf>
    <xf numFmtId="0" fontId="84" fillId="0" borderId="52" xfId="77" applyFont="1" applyFill="1" applyBorder="1" applyAlignment="1">
      <alignment horizontal="left" vertical="top" wrapText="1"/>
    </xf>
    <xf numFmtId="49" fontId="76" fillId="0" borderId="52" xfId="78" applyNumberFormat="1" applyFont="1" applyFill="1" applyBorder="1" applyAlignment="1">
      <alignment horizontal="center"/>
    </xf>
    <xf numFmtId="0" fontId="76" fillId="0" borderId="52" xfId="77" quotePrefix="1" applyFont="1" applyFill="1" applyBorder="1" applyAlignment="1">
      <alignment horizontal="left" vertical="top" wrapText="1"/>
    </xf>
    <xf numFmtId="0" fontId="63" fillId="0" borderId="52" xfId="77" applyFont="1" applyFill="1" applyBorder="1" applyAlignment="1">
      <alignment horizontal="left" vertical="top" wrapText="1"/>
    </xf>
    <xf numFmtId="2" fontId="76" fillId="0" borderId="70" xfId="77" applyNumberFormat="1" applyFont="1" applyFill="1" applyBorder="1" applyAlignment="1">
      <alignment horizontal="center" vertical="top"/>
    </xf>
    <xf numFmtId="0" fontId="70" fillId="0" borderId="0" xfId="76" applyFont="1" applyFill="1" applyAlignment="1">
      <alignment horizontal="left"/>
    </xf>
    <xf numFmtId="0" fontId="70" fillId="0" borderId="52" xfId="77" applyFont="1" applyFill="1" applyBorder="1" applyAlignment="1">
      <alignment horizontal="center"/>
    </xf>
    <xf numFmtId="168" fontId="76" fillId="0" borderId="70" xfId="102" applyNumberFormat="1" applyFont="1" applyFill="1" applyBorder="1" applyAlignment="1">
      <alignment horizontal="center" vertical="top"/>
    </xf>
    <xf numFmtId="2" fontId="76" fillId="0" borderId="70" xfId="102" applyNumberFormat="1" applyFont="1" applyFill="1" applyBorder="1" applyAlignment="1">
      <alignment horizontal="center" vertical="top"/>
    </xf>
    <xf numFmtId="0" fontId="76" fillId="0" borderId="52" xfId="84" applyFont="1" applyFill="1" applyBorder="1" applyAlignment="1">
      <alignment horizontal="center" wrapText="1"/>
    </xf>
    <xf numFmtId="0" fontId="84" fillId="0" borderId="52" xfId="84" applyFont="1" applyFill="1" applyBorder="1" applyAlignment="1">
      <alignment horizontal="left" vertical="top" wrapText="1"/>
    </xf>
    <xf numFmtId="4" fontId="76" fillId="0" borderId="52" xfId="102" applyNumberFormat="1" applyFont="1" applyFill="1" applyBorder="1" applyAlignment="1">
      <alignment horizontal="center"/>
    </xf>
    <xf numFmtId="0" fontId="76" fillId="0" borderId="52" xfId="102" quotePrefix="1" applyFont="1" applyFill="1" applyBorder="1" applyAlignment="1">
      <alignment horizontal="left" vertical="top" wrapText="1"/>
    </xf>
    <xf numFmtId="0" fontId="76" fillId="0" borderId="20" xfId="135" applyFont="1" applyBorder="1"/>
    <xf numFmtId="0" fontId="76" fillId="0" borderId="5" xfId="135" applyFont="1" applyBorder="1"/>
    <xf numFmtId="0" fontId="76" fillId="0" borderId="11" xfId="135" applyFont="1" applyBorder="1"/>
    <xf numFmtId="43" fontId="70" fillId="0" borderId="9" xfId="129" applyFont="1" applyBorder="1" applyAlignment="1">
      <alignment horizontal="center"/>
    </xf>
    <xf numFmtId="43" fontId="70" fillId="0" borderId="11" xfId="129" applyFont="1" applyBorder="1" applyAlignment="1">
      <alignment horizontal="center"/>
    </xf>
    <xf numFmtId="43" fontId="70" fillId="0" borderId="18" xfId="129" applyFont="1" applyBorder="1" applyAlignment="1">
      <alignment horizontal="center"/>
    </xf>
    <xf numFmtId="0" fontId="76" fillId="0" borderId="84" xfId="135" applyFont="1" applyBorder="1"/>
    <xf numFmtId="0" fontId="76" fillId="0" borderId="55" xfId="135" applyFont="1" applyBorder="1"/>
    <xf numFmtId="43" fontId="70" fillId="0" borderId="53" xfId="129" applyFont="1" applyBorder="1" applyAlignment="1">
      <alignment horizontal="center"/>
    </xf>
    <xf numFmtId="43" fontId="70" fillId="0" borderId="54" xfId="129" applyFont="1" applyBorder="1" applyAlignment="1">
      <alignment horizontal="center"/>
    </xf>
    <xf numFmtId="43" fontId="70" fillId="0" borderId="19" xfId="129" applyFont="1" applyBorder="1" applyAlignment="1">
      <alignment horizontal="center"/>
    </xf>
    <xf numFmtId="0" fontId="76" fillId="0" borderId="85" xfId="135" applyFont="1" applyBorder="1"/>
    <xf numFmtId="0" fontId="76" fillId="0" borderId="49" xfId="135" applyFont="1" applyBorder="1"/>
    <xf numFmtId="43" fontId="76" fillId="0" borderId="59" xfId="129" applyFont="1" applyBorder="1" applyAlignment="1">
      <alignment horizontal="right"/>
    </xf>
    <xf numFmtId="0" fontId="76" fillId="0" borderId="58" xfId="135" applyFont="1" applyBorder="1"/>
    <xf numFmtId="3" fontId="76" fillId="0" borderId="75" xfId="73" applyNumberFormat="1" applyFont="1" applyBorder="1" applyAlignment="1">
      <alignment horizontal="center"/>
    </xf>
    <xf numFmtId="0" fontId="76" fillId="0" borderId="37" xfId="135" applyFont="1" applyBorder="1"/>
    <xf numFmtId="0" fontId="81" fillId="0" borderId="0" xfId="136" applyFont="1" applyBorder="1" applyAlignment="1">
      <alignment horizontal="left" indent="1"/>
    </xf>
    <xf numFmtId="0" fontId="76" fillId="0" borderId="0" xfId="136" applyFont="1" applyBorder="1"/>
    <xf numFmtId="43" fontId="76" fillId="0" borderId="7" xfId="129" applyFont="1" applyBorder="1" applyAlignment="1">
      <alignment horizontal="right" vertical="center"/>
    </xf>
    <xf numFmtId="4" fontId="76" fillId="0" borderId="1" xfId="73" applyNumberFormat="1" applyFont="1" applyBorder="1" applyAlignment="1">
      <alignment horizontal="center"/>
    </xf>
    <xf numFmtId="43" fontId="76" fillId="0" borderId="19" xfId="129" applyFont="1" applyBorder="1" applyAlignment="1">
      <alignment horizontal="center"/>
    </xf>
    <xf numFmtId="0" fontId="76" fillId="0" borderId="0" xfId="136" applyFont="1" applyBorder="1" applyAlignment="1">
      <alignment horizontal="left" indent="1"/>
    </xf>
    <xf numFmtId="43" fontId="76" fillId="0" borderId="7" xfId="129" applyFont="1" applyBorder="1" applyAlignment="1">
      <alignment horizontal="center"/>
    </xf>
    <xf numFmtId="0" fontId="76" fillId="0" borderId="69" xfId="135" applyFont="1" applyBorder="1"/>
    <xf numFmtId="0" fontId="76" fillId="0" borderId="45" xfId="136" applyFont="1" applyBorder="1" applyAlignment="1">
      <alignment horizontal="left" indent="1"/>
    </xf>
    <xf numFmtId="0" fontId="76" fillId="0" borderId="45" xfId="136" applyFont="1" applyBorder="1"/>
    <xf numFmtId="43" fontId="76" fillId="0" borderId="40" xfId="129" applyFont="1" applyBorder="1" applyAlignment="1">
      <alignment horizontal="center"/>
    </xf>
    <xf numFmtId="43" fontId="70" fillId="0" borderId="72" xfId="129" applyFont="1" applyBorder="1" applyAlignment="1">
      <alignment horizontal="center"/>
    </xf>
    <xf numFmtId="0" fontId="76" fillId="0" borderId="86" xfId="135" applyFont="1" applyBorder="1"/>
    <xf numFmtId="0" fontId="76" fillId="0" borderId="57" xfId="135" applyFont="1" applyBorder="1"/>
    <xf numFmtId="0" fontId="76" fillId="0" borderId="56" xfId="135" applyFont="1" applyBorder="1"/>
    <xf numFmtId="43" fontId="76" fillId="0" borderId="43" xfId="129" applyFont="1" applyBorder="1" applyAlignment="1">
      <alignment horizontal="right"/>
    </xf>
    <xf numFmtId="4" fontId="76" fillId="0" borderId="43" xfId="73" applyNumberFormat="1" applyFont="1" applyBorder="1" applyAlignment="1">
      <alignment horizontal="center"/>
    </xf>
    <xf numFmtId="43" fontId="76" fillId="0" borderId="12" xfId="129" applyFont="1" applyBorder="1" applyAlignment="1">
      <alignment horizontal="right"/>
    </xf>
    <xf numFmtId="43" fontId="70" fillId="0" borderId="12" xfId="129" applyFont="1" applyBorder="1" applyAlignment="1">
      <alignment horizontal="right" vertical="center"/>
    </xf>
    <xf numFmtId="0" fontId="76" fillId="0" borderId="3" xfId="135" applyFont="1" applyBorder="1"/>
    <xf numFmtId="0" fontId="70" fillId="0" borderId="4" xfId="135" applyFont="1" applyBorder="1" applyAlignment="1">
      <alignment horizontal="right" vertical="center" wrapText="1" indent="1"/>
    </xf>
    <xf numFmtId="0" fontId="70" fillId="0" borderId="6" xfId="135" applyFont="1" applyBorder="1" applyAlignment="1">
      <alignment horizontal="center" vertical="center"/>
    </xf>
    <xf numFmtId="43" fontId="76" fillId="0" borderId="23" xfId="129" applyFont="1" applyBorder="1" applyAlignment="1">
      <alignment horizontal="right" vertical="center"/>
    </xf>
    <xf numFmtId="4" fontId="76" fillId="0" borderId="4" xfId="73" applyNumberFormat="1" applyFont="1" applyBorder="1" applyAlignment="1">
      <alignment horizontal="center"/>
    </xf>
    <xf numFmtId="43" fontId="76" fillId="0" borderId="17" xfId="129" applyFont="1" applyBorder="1" applyAlignment="1">
      <alignment horizontal="right" vertical="center"/>
    </xf>
    <xf numFmtId="0" fontId="76" fillId="0" borderId="0" xfId="73" applyFont="1" applyAlignment="1">
      <alignment horizontal="left" vertical="top"/>
    </xf>
    <xf numFmtId="0" fontId="76" fillId="0" borderId="0" xfId="73" applyFont="1" applyAlignment="1">
      <alignment horizontal="center" vertical="center"/>
    </xf>
    <xf numFmtId="1" fontId="76" fillId="0" borderId="0" xfId="73" applyNumberFormat="1" applyFont="1" applyFill="1" applyAlignment="1">
      <alignment horizontal="center" vertical="center"/>
    </xf>
    <xf numFmtId="4" fontId="76" fillId="0" borderId="0" xfId="73" applyNumberFormat="1" applyFont="1" applyAlignment="1">
      <alignment horizontal="center"/>
    </xf>
    <xf numFmtId="43" fontId="76" fillId="0" borderId="0" xfId="129" applyFont="1" applyAlignment="1">
      <alignment horizontal="center"/>
    </xf>
    <xf numFmtId="0" fontId="76" fillId="0" borderId="24" xfId="73" quotePrefix="1" applyFont="1" applyBorder="1" applyAlignment="1" applyProtection="1">
      <alignment horizontal="left" vertical="top" wrapText="1"/>
    </xf>
    <xf numFmtId="0" fontId="76" fillId="0" borderId="24" xfId="73" applyFont="1" applyBorder="1" applyAlignment="1" applyProtection="1">
      <alignment horizontal="center" vertical="center"/>
    </xf>
    <xf numFmtId="0" fontId="76" fillId="0" borderId="89" xfId="75" applyFont="1" applyFill="1" applyBorder="1" applyAlignment="1">
      <alignment horizontal="center" vertical="center"/>
    </xf>
    <xf numFmtId="4" fontId="70" fillId="0" borderId="89" xfId="75" applyNumberFormat="1" applyFont="1" applyBorder="1" applyAlignment="1" applyProtection="1">
      <alignment horizontal="center"/>
      <protection locked="0"/>
    </xf>
    <xf numFmtId="43" fontId="76" fillId="0" borderId="92" xfId="129" applyFont="1" applyBorder="1" applyAlignment="1" applyProtection="1">
      <alignment horizontal="center"/>
      <protection locked="0"/>
    </xf>
    <xf numFmtId="0" fontId="76" fillId="0" borderId="79" xfId="75" applyFont="1" applyBorder="1" applyAlignment="1">
      <alignment horizontal="center" vertical="top"/>
    </xf>
    <xf numFmtId="0" fontId="76" fillId="0" borderId="24" xfId="75" applyFont="1" applyBorder="1" applyAlignment="1">
      <alignment horizontal="left" vertical="top" wrapText="1"/>
    </xf>
    <xf numFmtId="0" fontId="76" fillId="0" borderId="24" xfId="75" applyFont="1" applyBorder="1" applyAlignment="1">
      <alignment horizontal="center" vertical="center"/>
    </xf>
    <xf numFmtId="0" fontId="76" fillId="0" borderId="24" xfId="75" applyFont="1" applyFill="1" applyBorder="1" applyAlignment="1">
      <alignment horizontal="center" vertical="center"/>
    </xf>
    <xf numFmtId="4" fontId="76" fillId="0" borderId="24" xfId="75" applyNumberFormat="1" applyFont="1" applyBorder="1" applyAlignment="1" applyProtection="1">
      <alignment horizontal="center"/>
      <protection locked="0"/>
    </xf>
    <xf numFmtId="0" fontId="70" fillId="0" borderId="37" xfId="76" applyFont="1" applyBorder="1" applyAlignment="1">
      <alignment horizontal="left" wrapText="1" indent="4"/>
    </xf>
    <xf numFmtId="0" fontId="70" fillId="0" borderId="0" xfId="76" applyFont="1" applyBorder="1"/>
    <xf numFmtId="43" fontId="70" fillId="0" borderId="19" xfId="129" applyFont="1" applyBorder="1"/>
    <xf numFmtId="0" fontId="70" fillId="0" borderId="88" xfId="76" applyFont="1" applyBorder="1"/>
    <xf numFmtId="0" fontId="70" fillId="0" borderId="82" xfId="76" applyFont="1" applyBorder="1"/>
    <xf numFmtId="2" fontId="76" fillId="0" borderId="79" xfId="75" applyNumberFormat="1" applyFont="1" applyBorder="1" applyAlignment="1">
      <alignment horizontal="center" vertical="top"/>
    </xf>
    <xf numFmtId="0" fontId="76" fillId="0" borderId="89" xfId="75" applyFont="1" applyBorder="1" applyAlignment="1">
      <alignment horizontal="left" vertical="top" wrapText="1"/>
    </xf>
    <xf numFmtId="0" fontId="76" fillId="0" borderId="89" xfId="75" applyFont="1" applyBorder="1" applyAlignment="1">
      <alignment horizontal="center" vertical="center"/>
    </xf>
    <xf numFmtId="168" fontId="76" fillId="0" borderId="93" xfId="75" applyNumberFormat="1" applyFont="1" applyBorder="1" applyAlignment="1">
      <alignment horizontal="center" vertical="top"/>
    </xf>
    <xf numFmtId="43" fontId="76" fillId="0" borderId="12" xfId="129" applyFont="1" applyBorder="1" applyAlignment="1" applyProtection="1">
      <alignment horizontal="center"/>
      <protection locked="0"/>
    </xf>
    <xf numFmtId="0" fontId="76" fillId="0" borderId="93" xfId="75" applyFont="1" applyBorder="1" applyAlignment="1">
      <alignment horizontal="center" vertical="top"/>
    </xf>
    <xf numFmtId="0" fontId="70" fillId="0" borderId="89" xfId="75" applyFont="1" applyBorder="1" applyAlignment="1">
      <alignment horizontal="left" vertical="top" wrapText="1"/>
    </xf>
    <xf numFmtId="0" fontId="76" fillId="0" borderId="37" xfId="75" applyFont="1" applyBorder="1" applyAlignment="1">
      <alignment horizontal="center" vertical="top"/>
    </xf>
    <xf numFmtId="0" fontId="76" fillId="0" borderId="0" xfId="75" applyFont="1" applyBorder="1" applyAlignment="1">
      <alignment horizontal="left" vertical="top" wrapText="1"/>
    </xf>
    <xf numFmtId="0" fontId="76" fillId="0" borderId="0" xfId="75" applyFont="1" applyBorder="1" applyAlignment="1">
      <alignment horizontal="center" vertical="center"/>
    </xf>
    <xf numFmtId="0" fontId="76" fillId="0" borderId="0" xfId="75" applyFont="1" applyFill="1" applyBorder="1" applyAlignment="1">
      <alignment horizontal="center" vertical="center"/>
    </xf>
    <xf numFmtId="4" fontId="76" fillId="0" borderId="1" xfId="75" applyNumberFormat="1" applyFont="1" applyBorder="1" applyAlignment="1" applyProtection="1">
      <alignment horizontal="center"/>
      <protection locked="0"/>
    </xf>
    <xf numFmtId="43" fontId="76" fillId="0" borderId="19" xfId="129" applyFont="1" applyBorder="1" applyAlignment="1" applyProtection="1">
      <alignment horizontal="center"/>
      <protection locked="0"/>
    </xf>
    <xf numFmtId="0" fontId="76" fillId="0" borderId="62" xfId="75" applyFont="1" applyBorder="1" applyAlignment="1">
      <alignment horizontal="center" vertical="center"/>
    </xf>
    <xf numFmtId="3" fontId="76" fillId="0" borderId="89" xfId="102" applyNumberFormat="1" applyFont="1" applyFill="1" applyBorder="1" applyAlignment="1" applyProtection="1">
      <alignment horizontal="center" wrapText="1"/>
    </xf>
    <xf numFmtId="4" fontId="76" fillId="0" borderId="89" xfId="102" applyNumberFormat="1" applyFont="1" applyFill="1" applyBorder="1" applyAlignment="1" applyProtection="1">
      <alignment horizontal="center"/>
      <protection locked="0"/>
    </xf>
    <xf numFmtId="3" fontId="76" fillId="0" borderId="0" xfId="73" applyNumberFormat="1" applyFont="1" applyFill="1" applyBorder="1" applyAlignment="1">
      <alignment horizontal="center"/>
    </xf>
    <xf numFmtId="2" fontId="76" fillId="0" borderId="93" xfId="77" applyNumberFormat="1" applyFont="1" applyFill="1" applyBorder="1" applyAlignment="1">
      <alignment horizontal="center" vertical="top"/>
    </xf>
    <xf numFmtId="0" fontId="76" fillId="0" borderId="24" xfId="77" applyFont="1" applyFill="1" applyBorder="1" applyAlignment="1">
      <alignment horizontal="left" vertical="top" wrapText="1"/>
    </xf>
    <xf numFmtId="0" fontId="76" fillId="0" borderId="24" xfId="77" applyFont="1" applyFill="1" applyBorder="1" applyAlignment="1">
      <alignment horizontal="center"/>
    </xf>
    <xf numFmtId="0" fontId="76" fillId="0" borderId="24" xfId="78" applyNumberFormat="1" applyFont="1" applyFill="1" applyBorder="1" applyAlignment="1">
      <alignment horizontal="center"/>
    </xf>
    <xf numFmtId="43" fontId="76" fillId="0" borderId="78" xfId="129" applyFont="1" applyFill="1" applyBorder="1" applyAlignment="1" applyProtection="1">
      <alignment horizontal="center"/>
      <protection locked="0"/>
    </xf>
    <xf numFmtId="0" fontId="63" fillId="0" borderId="89" xfId="102" applyFont="1" applyFill="1" applyBorder="1" applyAlignment="1">
      <alignment horizontal="left" vertical="top" wrapText="1"/>
    </xf>
    <xf numFmtId="4" fontId="76" fillId="0" borderId="89" xfId="102" applyNumberFormat="1" applyFont="1" applyFill="1" applyBorder="1" applyAlignment="1">
      <alignment horizontal="center"/>
    </xf>
    <xf numFmtId="0" fontId="76" fillId="0" borderId="52" xfId="102" applyFont="1" applyFill="1" applyBorder="1" applyAlignment="1">
      <alignment horizontal="center" vertical="center"/>
    </xf>
    <xf numFmtId="4" fontId="76" fillId="0" borderId="52" xfId="102" applyNumberFormat="1" applyFont="1" applyFill="1" applyBorder="1" applyAlignment="1">
      <alignment horizontal="center" vertical="center"/>
    </xf>
    <xf numFmtId="43" fontId="76" fillId="0" borderId="71" xfId="129" applyFont="1" applyFill="1" applyBorder="1" applyAlignment="1" applyProtection="1">
      <alignment horizontal="center" vertical="center"/>
      <protection locked="0"/>
    </xf>
    <xf numFmtId="0" fontId="64" fillId="0" borderId="0" xfId="10" applyFont="1" applyAlignment="1">
      <alignment horizontal="left"/>
    </xf>
    <xf numFmtId="0" fontId="64" fillId="0" borderId="0" xfId="10" applyFont="1"/>
    <xf numFmtId="0" fontId="64" fillId="0" borderId="0" xfId="73" applyFont="1" applyFill="1" applyAlignment="1" applyProtection="1">
      <alignment horizontal="left"/>
    </xf>
    <xf numFmtId="4" fontId="65" fillId="0" borderId="0" xfId="1" applyNumberFormat="1" applyFont="1" applyFill="1" applyBorder="1" applyAlignment="1">
      <alignment vertical="top" wrapText="1"/>
    </xf>
    <xf numFmtId="0" fontId="64" fillId="0" borderId="0" xfId="53" applyFont="1" applyFill="1">
      <alignment vertical="center"/>
    </xf>
    <xf numFmtId="38" fontId="64" fillId="0" borderId="0" xfId="53" applyNumberFormat="1" applyFont="1" applyFill="1" applyAlignment="1">
      <alignment vertical="center" wrapText="1"/>
    </xf>
    <xf numFmtId="38" fontId="64" fillId="2" borderId="0" xfId="53" applyNumberFormat="1" applyFont="1" applyFill="1" applyAlignment="1">
      <alignment vertical="center" wrapText="1"/>
    </xf>
    <xf numFmtId="4" fontId="64" fillId="0" borderId="37" xfId="18" applyNumberFormat="1" applyFont="1" applyFill="1" applyBorder="1" applyAlignment="1">
      <alignment horizontal="center"/>
    </xf>
    <xf numFmtId="177" fontId="64" fillId="0" borderId="0" xfId="154" applyNumberFormat="1" applyFont="1" applyBorder="1"/>
    <xf numFmtId="0" fontId="64" fillId="0" borderId="0" xfId="73" applyFont="1" applyFill="1" applyAlignment="1">
      <alignment horizontal="left"/>
    </xf>
    <xf numFmtId="0" fontId="64" fillId="0" borderId="0" xfId="73" applyFont="1" applyFill="1" applyAlignment="1">
      <alignment horizontal="left" vertical="top"/>
    </xf>
    <xf numFmtId="0" fontId="64" fillId="0" borderId="0" xfId="73" applyFont="1" applyFill="1" applyAlignment="1">
      <alignment horizontal="center" vertical="center"/>
    </xf>
    <xf numFmtId="1" fontId="64" fillId="0" borderId="0" xfId="73" applyNumberFormat="1" applyFont="1" applyFill="1" applyAlignment="1">
      <alignment horizontal="right" vertical="center"/>
    </xf>
    <xf numFmtId="41" fontId="64" fillId="0" borderId="0" xfId="73" applyNumberFormat="1" applyFont="1" applyFill="1" applyAlignment="1">
      <alignment horizontal="right"/>
    </xf>
    <xf numFmtId="38" fontId="64" fillId="0" borderId="0" xfId="53" applyNumberFormat="1" applyFont="1" applyFill="1" applyBorder="1" applyAlignment="1">
      <alignment vertical="center" wrapText="1"/>
    </xf>
    <xf numFmtId="0" fontId="76" fillId="0" borderId="20" xfId="18" applyFont="1" applyBorder="1" applyAlignment="1">
      <alignment horizontal="left" vertical="center"/>
    </xf>
    <xf numFmtId="0" fontId="76" fillId="0" borderId="5" xfId="18" applyFont="1" applyBorder="1" applyAlignment="1">
      <alignment horizontal="left" vertical="center"/>
    </xf>
    <xf numFmtId="0" fontId="76" fillId="0" borderId="18" xfId="18" applyFont="1" applyBorder="1" applyAlignment="1">
      <alignment horizontal="left" vertical="center"/>
    </xf>
    <xf numFmtId="0" fontId="76" fillId="0" borderId="0" xfId="18" applyFont="1" applyBorder="1" applyAlignment="1">
      <alignment horizontal="left" vertical="center"/>
    </xf>
    <xf numFmtId="3" fontId="76" fillId="0" borderId="0" xfId="0" applyNumberFormat="1" applyFont="1" applyBorder="1" applyAlignment="1">
      <alignment horizontal="right"/>
    </xf>
    <xf numFmtId="3" fontId="76" fillId="0" borderId="0" xfId="0" applyNumberFormat="1" applyFont="1" applyBorder="1" applyAlignment="1">
      <alignment horizontal="center"/>
    </xf>
    <xf numFmtId="4" fontId="76" fillId="0" borderId="19" xfId="1" applyNumberFormat="1" applyFont="1" applyBorder="1"/>
    <xf numFmtId="0" fontId="70" fillId="0" borderId="13" xfId="0" applyFont="1" applyBorder="1" applyAlignment="1">
      <alignment vertical="top" wrapText="1"/>
    </xf>
    <xf numFmtId="0" fontId="70" fillId="0" borderId="10" xfId="0" applyFont="1" applyBorder="1" applyAlignment="1">
      <alignment horizontal="center" vertical="top" wrapText="1"/>
    </xf>
    <xf numFmtId="3" fontId="70" fillId="0" borderId="10" xfId="0" applyNumberFormat="1" applyFont="1" applyBorder="1" applyAlignment="1">
      <alignment horizontal="center" vertical="top" wrapText="1"/>
    </xf>
    <xf numFmtId="3" fontId="70" fillId="0" borderId="10" xfId="4" applyNumberFormat="1" applyFont="1" applyBorder="1" applyAlignment="1">
      <alignment horizontal="center" vertical="top" wrapText="1"/>
    </xf>
    <xf numFmtId="4" fontId="70" fillId="0" borderId="14" xfId="1" applyNumberFormat="1" applyFont="1" applyBorder="1" applyAlignment="1">
      <alignment horizontal="center" vertical="top" wrapText="1"/>
    </xf>
    <xf numFmtId="3" fontId="70" fillId="0" borderId="0" xfId="0" applyNumberFormat="1" applyFont="1" applyBorder="1" applyAlignment="1">
      <alignment horizontal="center" vertical="top" wrapText="1"/>
    </xf>
    <xf numFmtId="0" fontId="81" fillId="0" borderId="31" xfId="94" applyFont="1" applyFill="1" applyBorder="1" applyAlignment="1">
      <alignment horizontal="center" vertical="center"/>
    </xf>
    <xf numFmtId="0" fontId="81" fillId="0" borderId="27" xfId="94" applyFont="1" applyFill="1" applyBorder="1" applyAlignment="1">
      <alignment horizontal="justify" vertical="center" wrapText="1"/>
    </xf>
    <xf numFmtId="0" fontId="81" fillId="0" borderId="27" xfId="94" applyFont="1" applyFill="1" applyBorder="1" applyAlignment="1">
      <alignment horizontal="center" vertical="center"/>
    </xf>
    <xf numFmtId="3" fontId="81" fillId="0" borderId="27" xfId="94" applyNumberFormat="1" applyFont="1" applyFill="1" applyBorder="1" applyAlignment="1">
      <alignment horizontal="center" vertical="center"/>
    </xf>
    <xf numFmtId="0" fontId="81" fillId="0" borderId="11" xfId="0" applyFont="1" applyBorder="1" applyAlignment="1">
      <alignment vertical="center"/>
    </xf>
    <xf numFmtId="169" fontId="81" fillId="0" borderId="18" xfId="1" applyNumberFormat="1" applyFont="1" applyBorder="1" applyAlignment="1">
      <alignment vertical="center"/>
    </xf>
    <xf numFmtId="3" fontId="81" fillId="0" borderId="0" xfId="94" applyNumberFormat="1" applyFont="1" applyFill="1" applyBorder="1" applyAlignment="1">
      <alignment horizontal="center" vertical="center"/>
    </xf>
    <xf numFmtId="168" fontId="70" fillId="0" borderId="30" xfId="94" applyNumberFormat="1" applyFont="1" applyFill="1" applyBorder="1" applyAlignment="1">
      <alignment horizontal="center"/>
    </xf>
    <xf numFmtId="0" fontId="63" fillId="0" borderId="28" xfId="94" applyFont="1" applyFill="1" applyBorder="1" applyAlignment="1">
      <alignment horizontal="justify" wrapText="1"/>
    </xf>
    <xf numFmtId="0" fontId="70" fillId="0" borderId="28" xfId="0" applyNumberFormat="1" applyFont="1" applyBorder="1" applyAlignment="1">
      <alignment horizontal="center"/>
    </xf>
    <xf numFmtId="0" fontId="81" fillId="0" borderId="1" xfId="0" applyFont="1" applyBorder="1" applyAlignment="1"/>
    <xf numFmtId="0" fontId="81" fillId="0" borderId="19" xfId="0" applyFont="1" applyBorder="1" applyAlignment="1"/>
    <xf numFmtId="0" fontId="70" fillId="0" borderId="0" xfId="0" applyNumberFormat="1" applyFont="1" applyBorder="1" applyAlignment="1">
      <alignment horizontal="center"/>
    </xf>
    <xf numFmtId="0" fontId="70" fillId="0" borderId="30" xfId="0" applyFont="1" applyBorder="1" applyAlignment="1">
      <alignment horizontal="center" vertical="center"/>
    </xf>
    <xf numFmtId="0" fontId="70" fillId="0" borderId="28" xfId="0" applyFont="1" applyBorder="1" applyAlignment="1">
      <alignment horizontal="justify" vertical="top" wrapText="1"/>
    </xf>
    <xf numFmtId="0" fontId="81" fillId="0" borderId="28" xfId="0" applyFont="1" applyBorder="1" applyAlignment="1">
      <alignment horizontal="justify" vertical="top" wrapText="1"/>
    </xf>
    <xf numFmtId="0" fontId="70" fillId="0" borderId="28" xfId="0" applyNumberFormat="1" applyFont="1" applyBorder="1" applyAlignment="1">
      <alignment horizontal="left"/>
    </xf>
    <xf numFmtId="169" fontId="81" fillId="0" borderId="19" xfId="1" applyNumberFormat="1" applyFont="1" applyBorder="1" applyAlignment="1"/>
    <xf numFmtId="0" fontId="81" fillId="0" borderId="30" xfId="94" applyFont="1" applyFill="1" applyBorder="1" applyAlignment="1">
      <alignment horizontal="center" vertical="center"/>
    </xf>
    <xf numFmtId="0" fontId="81" fillId="0" borderId="28" xfId="94" applyFont="1" applyFill="1" applyBorder="1" applyAlignment="1">
      <alignment horizontal="justify" vertical="center" wrapText="1"/>
    </xf>
    <xf numFmtId="0" fontId="81" fillId="0" borderId="28" xfId="94" applyFont="1" applyFill="1" applyBorder="1" applyAlignment="1">
      <alignment horizontal="center" vertical="center"/>
    </xf>
    <xf numFmtId="3" fontId="81" fillId="0" borderId="28" xfId="94" applyNumberFormat="1" applyFont="1" applyFill="1" applyBorder="1" applyAlignment="1">
      <alignment horizontal="center" vertical="center"/>
    </xf>
    <xf numFmtId="0" fontId="81" fillId="0" borderId="1" xfId="0" applyFont="1" applyBorder="1" applyAlignment="1">
      <alignment vertical="center"/>
    </xf>
    <xf numFmtId="169" fontId="81" fillId="0" borderId="19" xfId="1" applyNumberFormat="1" applyFont="1" applyBorder="1" applyAlignment="1">
      <alignment vertical="center"/>
    </xf>
    <xf numFmtId="0" fontId="81" fillId="0" borderId="28" xfId="94" applyFont="1" applyFill="1" applyBorder="1" applyAlignment="1">
      <alignment horizontal="left" vertical="center" wrapText="1"/>
    </xf>
    <xf numFmtId="2" fontId="81" fillId="0" borderId="30" xfId="94" applyNumberFormat="1" applyFont="1" applyFill="1" applyBorder="1" applyAlignment="1">
      <alignment horizontal="center" vertical="center"/>
    </xf>
    <xf numFmtId="0" fontId="76" fillId="0" borderId="20" xfId="0" applyFont="1" applyBorder="1" applyAlignment="1">
      <alignment horizontal="center" vertical="top"/>
    </xf>
    <xf numFmtId="0" fontId="76" fillId="0" borderId="5" xfId="0" applyFont="1" applyBorder="1" applyAlignment="1">
      <alignment horizontal="left" wrapText="1"/>
    </xf>
    <xf numFmtId="0" fontId="76" fillId="0" borderId="5" xfId="0" applyFont="1" applyBorder="1" applyAlignment="1">
      <alignment horizontal="center"/>
    </xf>
    <xf numFmtId="4" fontId="76" fillId="0" borderId="11" xfId="0" applyNumberFormat="1" applyFont="1" applyBorder="1" applyAlignment="1" applyProtection="1">
      <alignment horizontal="center"/>
      <protection locked="0"/>
    </xf>
    <xf numFmtId="4" fontId="76" fillId="0" borderId="18" xfId="0" applyNumberFormat="1" applyFont="1" applyBorder="1" applyAlignment="1" applyProtection="1">
      <alignment horizontal="center"/>
      <protection locked="0"/>
    </xf>
    <xf numFmtId="0" fontId="76" fillId="0" borderId="1" xfId="0" applyFont="1" applyBorder="1" applyAlignment="1">
      <alignment wrapText="1"/>
    </xf>
    <xf numFmtId="43" fontId="83" fillId="0" borderId="19" xfId="1" applyNumberFormat="1" applyFont="1" applyBorder="1" applyAlignment="1">
      <alignment vertical="center"/>
    </xf>
    <xf numFmtId="0" fontId="76" fillId="0" borderId="0" xfId="0" applyFont="1" applyBorder="1" applyAlignment="1">
      <alignment vertical="center" wrapText="1"/>
    </xf>
    <xf numFmtId="0" fontId="76" fillId="0" borderId="4" xfId="0" applyFont="1" applyBorder="1" applyAlignment="1">
      <alignment horizontal="left" vertical="top" wrapText="1"/>
    </xf>
    <xf numFmtId="0" fontId="76" fillId="0" borderId="4" xfId="0" applyFont="1" applyBorder="1" applyAlignment="1">
      <alignment horizontal="center"/>
    </xf>
    <xf numFmtId="4" fontId="76" fillId="0" borderId="6" xfId="0" applyNumberFormat="1" applyFont="1" applyBorder="1" applyAlignment="1" applyProtection="1">
      <alignment horizontal="center"/>
      <protection locked="0"/>
    </xf>
    <xf numFmtId="4" fontId="70" fillId="0" borderId="21" xfId="0" applyNumberFormat="1" applyFont="1" applyBorder="1" applyAlignment="1" applyProtection="1">
      <alignment horizontal="center"/>
      <protection locked="0"/>
    </xf>
    <xf numFmtId="0" fontId="76" fillId="0" borderId="5" xfId="0" applyFont="1" applyBorder="1" applyAlignment="1">
      <alignment horizontal="left" vertical="top" wrapText="1"/>
    </xf>
    <xf numFmtId="4" fontId="76" fillId="0" borderId="5" xfId="0" applyNumberFormat="1" applyFont="1" applyBorder="1" applyAlignment="1" applyProtection="1">
      <alignment horizontal="center"/>
      <protection locked="0"/>
    </xf>
    <xf numFmtId="4" fontId="70" fillId="0" borderId="18" xfId="0" applyNumberFormat="1" applyFont="1" applyBorder="1" applyAlignment="1" applyProtection="1">
      <alignment horizontal="center"/>
      <protection locked="0"/>
    </xf>
    <xf numFmtId="0" fontId="76" fillId="0" borderId="37" xfId="18" applyFont="1" applyBorder="1" applyAlignment="1">
      <alignment horizontal="center" vertical="center"/>
    </xf>
    <xf numFmtId="0" fontId="76" fillId="0" borderId="0" xfId="18" applyFont="1" applyBorder="1" applyAlignment="1">
      <alignment horizontal="center" vertical="center"/>
    </xf>
    <xf numFmtId="1" fontId="76" fillId="0" borderId="0" xfId="18" applyNumberFormat="1" applyFont="1" applyBorder="1" applyAlignment="1">
      <alignment horizontal="center" vertical="center"/>
    </xf>
    <xf numFmtId="1" fontId="76" fillId="0" borderId="19" xfId="18" applyNumberFormat="1" applyFont="1" applyBorder="1" applyAlignment="1">
      <alignment horizontal="center" vertical="center"/>
    </xf>
    <xf numFmtId="0" fontId="81" fillId="0" borderId="28" xfId="94" applyFont="1" applyFill="1" applyBorder="1" applyAlignment="1">
      <alignment horizontal="center"/>
    </xf>
    <xf numFmtId="3" fontId="81" fillId="0" borderId="28" xfId="94" applyNumberFormat="1" applyFont="1" applyFill="1" applyBorder="1" applyAlignment="1">
      <alignment horizontal="center"/>
    </xf>
    <xf numFmtId="3" fontId="81" fillId="0" borderId="0" xfId="94" applyNumberFormat="1" applyFont="1" applyFill="1" applyBorder="1" applyAlignment="1">
      <alignment horizontal="center"/>
    </xf>
    <xf numFmtId="0" fontId="81" fillId="0" borderId="30" xfId="94" applyFont="1" applyFill="1" applyBorder="1" applyAlignment="1">
      <alignment horizontal="center"/>
    </xf>
    <xf numFmtId="0" fontId="81" fillId="0" borderId="28" xfId="94" applyFont="1" applyFill="1" applyBorder="1" applyAlignment="1">
      <alignment horizontal="justify" wrapText="1"/>
    </xf>
    <xf numFmtId="169" fontId="81" fillId="0" borderId="1" xfId="1" applyNumberFormat="1" applyFont="1" applyBorder="1" applyAlignment="1"/>
    <xf numFmtId="169" fontId="81" fillId="0" borderId="1" xfId="1" applyNumberFormat="1" applyFont="1" applyBorder="1" applyAlignment="1">
      <alignment vertical="center"/>
    </xf>
    <xf numFmtId="168" fontId="81" fillId="0" borderId="30" xfId="94" applyNumberFormat="1" applyFont="1" applyFill="1" applyBorder="1" applyAlignment="1">
      <alignment horizontal="center" vertical="center"/>
    </xf>
    <xf numFmtId="0" fontId="81" fillId="0" borderId="30" xfId="0" applyFont="1" applyBorder="1" applyAlignment="1">
      <alignment horizontal="center" vertical="center"/>
    </xf>
    <xf numFmtId="0" fontId="81" fillId="0" borderId="28" xfId="0" applyFont="1" applyBorder="1" applyAlignment="1">
      <alignment horizontal="justify" vertical="center" wrapText="1"/>
    </xf>
    <xf numFmtId="0" fontId="81" fillId="0" borderId="0" xfId="0" applyNumberFormat="1" applyFont="1" applyBorder="1" applyAlignment="1">
      <alignment horizontal="center" vertical="center"/>
    </xf>
    <xf numFmtId="0" fontId="81" fillId="0" borderId="28" xfId="0" applyNumberFormat="1" applyFont="1" applyBorder="1" applyAlignment="1">
      <alignment horizontal="center" vertical="center"/>
    </xf>
    <xf numFmtId="2" fontId="81" fillId="0" borderId="30" xfId="0" applyNumberFormat="1" applyFont="1" applyBorder="1" applyAlignment="1">
      <alignment horizontal="center" vertical="center"/>
    </xf>
    <xf numFmtId="0" fontId="70" fillId="0" borderId="1" xfId="0" applyFont="1" applyBorder="1" applyAlignment="1">
      <alignment wrapText="1"/>
    </xf>
    <xf numFmtId="0" fontId="70" fillId="0" borderId="0" xfId="0" applyFont="1" applyBorder="1" applyAlignment="1">
      <alignment vertical="center" wrapText="1"/>
    </xf>
    <xf numFmtId="168" fontId="70" fillId="0" borderId="30" xfId="94" applyNumberFormat="1" applyFont="1" applyFill="1" applyBorder="1" applyAlignment="1">
      <alignment horizontal="center" vertical="center"/>
    </xf>
    <xf numFmtId="0" fontId="63" fillId="0" borderId="28" xfId="94" applyFont="1" applyFill="1" applyBorder="1" applyAlignment="1">
      <alignment horizontal="justify" vertical="center" wrapText="1"/>
    </xf>
    <xf numFmtId="43" fontId="81" fillId="0" borderId="30" xfId="1" applyFont="1" applyFill="1" applyBorder="1" applyAlignment="1">
      <alignment horizontal="center" vertical="center"/>
    </xf>
    <xf numFmtId="43" fontId="81" fillId="0" borderId="28" xfId="1" applyFont="1" applyFill="1" applyBorder="1" applyAlignment="1">
      <alignment horizontal="justify" vertical="center" wrapText="1"/>
    </xf>
    <xf numFmtId="43" fontId="81" fillId="0" borderId="28" xfId="1" applyFont="1" applyFill="1" applyBorder="1" applyAlignment="1">
      <alignment horizontal="center" vertical="center"/>
    </xf>
    <xf numFmtId="43" fontId="81" fillId="0" borderId="1" xfId="1" applyFont="1" applyBorder="1" applyAlignment="1">
      <alignment vertical="center"/>
    </xf>
    <xf numFmtId="43" fontId="81" fillId="0" borderId="19" xfId="1" applyFont="1" applyBorder="1" applyAlignment="1">
      <alignment vertical="center"/>
    </xf>
    <xf numFmtId="43" fontId="81" fillId="0" borderId="0" xfId="1" applyFont="1" applyFill="1" applyBorder="1" applyAlignment="1">
      <alignment horizontal="center" vertical="center"/>
    </xf>
    <xf numFmtId="177" fontId="83" fillId="0" borderId="19" xfId="1" applyNumberFormat="1" applyFont="1" applyBorder="1" applyAlignment="1">
      <alignment vertical="center"/>
    </xf>
    <xf numFmtId="0" fontId="70" fillId="0" borderId="28" xfId="94" applyFont="1" applyFill="1" applyBorder="1" applyAlignment="1">
      <alignment horizontal="justify" vertical="center" wrapText="1"/>
    </xf>
    <xf numFmtId="1" fontId="76" fillId="0" borderId="30" xfId="94" applyNumberFormat="1" applyFont="1" applyFill="1" applyBorder="1" applyAlignment="1">
      <alignment horizontal="center" vertical="center"/>
    </xf>
    <xf numFmtId="0" fontId="81" fillId="0" borderId="0" xfId="0" applyFont="1" applyBorder="1" applyAlignment="1">
      <alignment horizontal="center"/>
    </xf>
    <xf numFmtId="0" fontId="81" fillId="0" borderId="0" xfId="0" applyFont="1" applyBorder="1" applyAlignment="1">
      <alignment horizontal="justify" vertical="top" wrapText="1"/>
    </xf>
    <xf numFmtId="0" fontId="81" fillId="0" borderId="0" xfId="0" applyNumberFormat="1" applyFont="1" applyBorder="1" applyAlignment="1">
      <alignment horizontal="center"/>
    </xf>
    <xf numFmtId="0" fontId="81" fillId="0" borderId="0" xfId="0" applyFont="1" applyBorder="1" applyAlignment="1"/>
    <xf numFmtId="169" fontId="81" fillId="0" borderId="0" xfId="1" applyNumberFormat="1" applyFont="1" applyBorder="1" applyAlignment="1"/>
    <xf numFmtId="0" fontId="81" fillId="0" borderId="0" xfId="0" applyFont="1" applyAlignment="1">
      <alignment horizontal="center"/>
    </xf>
    <xf numFmtId="0" fontId="81" fillId="0" borderId="0" xfId="0" applyFont="1" applyAlignment="1">
      <alignment horizontal="justify" vertical="top" wrapText="1"/>
    </xf>
    <xf numFmtId="0" fontId="81" fillId="0" borderId="0" xfId="0" applyNumberFormat="1" applyFont="1" applyAlignment="1">
      <alignment horizontal="center"/>
    </xf>
    <xf numFmtId="0" fontId="81" fillId="0" borderId="0" xfId="0" applyFont="1" applyAlignment="1"/>
    <xf numFmtId="0" fontId="81" fillId="0" borderId="29" xfId="0" applyFont="1" applyBorder="1" applyAlignment="1">
      <alignment vertical="top" wrapText="1"/>
    </xf>
    <xf numFmtId="3" fontId="74" fillId="0" borderId="29" xfId="2" applyNumberFormat="1" applyFont="1" applyBorder="1" applyAlignment="1">
      <alignment horizontal="center" vertical="center"/>
    </xf>
    <xf numFmtId="173" fontId="74" fillId="0" borderId="29" xfId="34" applyNumberFormat="1" applyFont="1" applyBorder="1" applyAlignment="1">
      <alignment vertical="center"/>
    </xf>
    <xf numFmtId="0" fontId="74" fillId="0" borderId="29" xfId="0" applyFont="1" applyBorder="1" applyAlignment="1">
      <alignment vertical="top"/>
    </xf>
    <xf numFmtId="173" fontId="74" fillId="0" borderId="29" xfId="34" applyNumberFormat="1" applyFont="1" applyFill="1" applyBorder="1" applyAlignment="1">
      <alignment vertical="top"/>
    </xf>
    <xf numFmtId="0" fontId="74" fillId="0" borderId="29" xfId="0" applyFont="1" applyBorder="1" applyAlignment="1">
      <alignment vertical="top" wrapText="1"/>
    </xf>
    <xf numFmtId="3" fontId="74" fillId="0" borderId="29" xfId="2" applyNumberFormat="1" applyFont="1" applyFill="1" applyBorder="1" applyAlignment="1">
      <alignment horizontal="center" vertical="center"/>
    </xf>
    <xf numFmtId="3" fontId="70" fillId="0" borderId="10" xfId="1" applyNumberFormat="1" applyFont="1" applyFill="1" applyBorder="1" applyAlignment="1">
      <alignment horizontal="right" vertical="top" wrapText="1"/>
    </xf>
    <xf numFmtId="0" fontId="76" fillId="0" borderId="9" xfId="53" applyFont="1" applyFill="1" applyBorder="1" applyAlignment="1">
      <alignment vertical="center" wrapText="1"/>
    </xf>
    <xf numFmtId="0" fontId="76" fillId="0" borderId="9" xfId="53" applyFont="1" applyFill="1" applyBorder="1" applyAlignment="1">
      <alignment horizontal="center" vertical="center" wrapText="1"/>
    </xf>
    <xf numFmtId="172" fontId="76" fillId="0" borderId="9" xfId="53" applyNumberFormat="1" applyFont="1" applyFill="1" applyBorder="1" applyAlignment="1">
      <alignment horizontal="right" vertical="center" wrapText="1"/>
    </xf>
    <xf numFmtId="0" fontId="63" fillId="0" borderId="52" xfId="53" applyFont="1" applyFill="1" applyBorder="1" applyAlignment="1">
      <alignment vertical="center" wrapText="1"/>
    </xf>
    <xf numFmtId="0" fontId="76" fillId="0" borderId="52" xfId="53" applyFont="1" applyFill="1" applyBorder="1" applyAlignment="1">
      <alignment horizontal="center" vertical="center" wrapText="1"/>
    </xf>
    <xf numFmtId="172" fontId="76" fillId="0" borderId="52" xfId="53" applyNumberFormat="1" applyFont="1" applyFill="1" applyBorder="1" applyAlignment="1">
      <alignment horizontal="right" vertical="center" wrapText="1"/>
    </xf>
    <xf numFmtId="0" fontId="76" fillId="0" borderId="52" xfId="53" applyFont="1" applyFill="1" applyBorder="1" applyAlignment="1">
      <alignment vertical="center" wrapText="1"/>
    </xf>
    <xf numFmtId="0" fontId="70" fillId="0" borderId="94" xfId="51" applyFont="1" applyBorder="1" applyAlignment="1">
      <alignment vertical="top" wrapText="1"/>
    </xf>
    <xf numFmtId="0" fontId="70" fillId="0" borderId="52" xfId="13" applyFont="1" applyFill="1" applyBorder="1" applyAlignment="1">
      <alignment horizontal="center" vertical="center" wrapText="1"/>
    </xf>
    <xf numFmtId="4" fontId="70" fillId="0" borderId="52" xfId="14" applyNumberFormat="1" applyFont="1" applyFill="1" applyBorder="1" applyAlignment="1">
      <alignment horizontal="center" vertical="center" wrapText="1"/>
    </xf>
    <xf numFmtId="38" fontId="76" fillId="0" borderId="52" xfId="53" applyNumberFormat="1" applyFont="1" applyFill="1" applyBorder="1" applyAlignment="1">
      <alignment horizontal="left" vertical="center" wrapText="1"/>
    </xf>
    <xf numFmtId="38" fontId="76" fillId="0" borderId="52" xfId="53" applyNumberFormat="1" applyFont="1" applyFill="1" applyBorder="1" applyAlignment="1">
      <alignment horizontal="center" vertical="center" wrapText="1"/>
    </xf>
    <xf numFmtId="38" fontId="76" fillId="0" borderId="52" xfId="22" applyNumberFormat="1" applyFont="1" applyFill="1" applyBorder="1" applyAlignment="1">
      <alignment horizontal="center" vertical="center" wrapText="1"/>
    </xf>
    <xf numFmtId="38" fontId="76" fillId="0" borderId="91" xfId="53" applyNumberFormat="1" applyFont="1" applyFill="1" applyBorder="1" applyAlignment="1">
      <alignment horizontal="left" vertical="center" wrapText="1"/>
    </xf>
    <xf numFmtId="38" fontId="76" fillId="2" borderId="52" xfId="53" applyNumberFormat="1" applyFont="1" applyFill="1" applyBorder="1" applyAlignment="1">
      <alignment horizontal="center" vertical="center" wrapText="1"/>
    </xf>
    <xf numFmtId="38" fontId="76" fillId="2" borderId="52" xfId="22" applyNumberFormat="1" applyFont="1" applyFill="1" applyBorder="1" applyAlignment="1">
      <alignment horizontal="center" vertical="center" wrapText="1"/>
    </xf>
    <xf numFmtId="38" fontId="76" fillId="0" borderId="89" xfId="53" applyNumberFormat="1" applyFont="1" applyFill="1" applyBorder="1" applyAlignment="1">
      <alignment vertical="center" wrapText="1"/>
    </xf>
    <xf numFmtId="38" fontId="76" fillId="0" borderId="0" xfId="53" applyNumberFormat="1" applyFont="1" applyFill="1" applyBorder="1" applyAlignment="1">
      <alignment vertical="center" wrapText="1"/>
    </xf>
    <xf numFmtId="38" fontId="76" fillId="0" borderId="90" xfId="53" applyNumberFormat="1" applyFont="1" applyFill="1" applyBorder="1" applyAlignment="1">
      <alignment vertical="center" wrapText="1"/>
    </xf>
    <xf numFmtId="0" fontId="76" fillId="0" borderId="62" xfId="13" applyFont="1" applyFill="1" applyBorder="1" applyAlignment="1">
      <alignment horizontal="left" vertical="center" wrapText="1"/>
    </xf>
    <xf numFmtId="3" fontId="76" fillId="0" borderId="52" xfId="1" applyNumberFormat="1" applyFont="1" applyFill="1" applyBorder="1" applyAlignment="1">
      <alignment horizontal="center" vertical="center" wrapText="1"/>
    </xf>
    <xf numFmtId="3" fontId="76" fillId="0" borderId="52" xfId="1" applyNumberFormat="1" applyFont="1" applyFill="1" applyBorder="1" applyAlignment="1">
      <alignment vertical="center" wrapText="1"/>
    </xf>
    <xf numFmtId="3" fontId="76" fillId="2" borderId="0" xfId="4" applyNumberFormat="1" applyFont="1" applyFill="1" applyBorder="1" applyAlignment="1">
      <alignment vertical="top"/>
    </xf>
    <xf numFmtId="177" fontId="76" fillId="0" borderId="0" xfId="154" applyNumberFormat="1" applyFont="1" applyBorder="1"/>
    <xf numFmtId="38" fontId="64" fillId="0" borderId="37" xfId="53" applyNumberFormat="1" applyFont="1" applyFill="1" applyBorder="1" applyAlignment="1">
      <alignment horizontal="center" vertical="center" wrapText="1"/>
    </xf>
    <xf numFmtId="0" fontId="64" fillId="0" borderId="0" xfId="10" applyFont="1" applyBorder="1" applyAlignment="1">
      <alignment horizontal="left"/>
    </xf>
    <xf numFmtId="3" fontId="64" fillId="0" borderId="0" xfId="1" applyNumberFormat="1" applyFont="1" applyFill="1" applyBorder="1" applyAlignment="1">
      <alignment horizontal="center" vertical="center" wrapText="1"/>
    </xf>
    <xf numFmtId="3" fontId="64" fillId="0" borderId="0" xfId="1" applyNumberFormat="1" applyFont="1" applyFill="1" applyBorder="1" applyAlignment="1">
      <alignment vertical="center" wrapText="1"/>
    </xf>
    <xf numFmtId="43" fontId="64" fillId="0" borderId="0" xfId="1" applyFont="1" applyFill="1" applyBorder="1" applyAlignment="1">
      <alignment horizontal="right" vertical="center" wrapText="1"/>
    </xf>
    <xf numFmtId="43" fontId="64" fillId="0" borderId="0" xfId="1" applyFont="1" applyFill="1" applyBorder="1" applyAlignment="1">
      <alignment horizontal="right" vertical="center"/>
    </xf>
    <xf numFmtId="0" fontId="64" fillId="0" borderId="0" xfId="73" applyFont="1" applyFill="1" applyBorder="1" applyAlignment="1">
      <alignment horizontal="left"/>
    </xf>
    <xf numFmtId="38" fontId="64" fillId="0" borderId="0" xfId="53" applyNumberFormat="1" applyFont="1" applyFill="1" applyBorder="1" applyAlignment="1">
      <alignment horizontal="left" vertical="center" wrapText="1"/>
    </xf>
    <xf numFmtId="38" fontId="64" fillId="0" borderId="0" xfId="53" applyNumberFormat="1" applyFont="1" applyFill="1" applyBorder="1" applyAlignment="1">
      <alignment horizontal="center" vertical="center" wrapText="1"/>
    </xf>
    <xf numFmtId="38" fontId="64" fillId="0" borderId="0" xfId="22" applyNumberFormat="1" applyFont="1" applyFill="1" applyBorder="1" applyAlignment="1">
      <alignment horizontal="center" vertical="center" wrapText="1"/>
    </xf>
    <xf numFmtId="40" fontId="64" fillId="0" borderId="0" xfId="53" applyNumberFormat="1" applyFont="1" applyFill="1" applyBorder="1" applyAlignment="1">
      <alignment horizontal="center" vertical="center" wrapText="1"/>
    </xf>
    <xf numFmtId="3" fontId="64" fillId="0" borderId="0" xfId="4" applyNumberFormat="1" applyFont="1" applyFill="1" applyBorder="1" applyAlignment="1">
      <alignment vertical="top"/>
    </xf>
    <xf numFmtId="4" fontId="64" fillId="0" borderId="0" xfId="1" applyNumberFormat="1" applyFont="1" applyFill="1" applyBorder="1" applyAlignment="1">
      <alignment vertical="top"/>
    </xf>
    <xf numFmtId="4" fontId="65" fillId="0" borderId="0" xfId="1" applyNumberFormat="1" applyFont="1" applyFill="1" applyBorder="1" applyAlignment="1">
      <alignment vertical="top"/>
    </xf>
    <xf numFmtId="0" fontId="64" fillId="0" borderId="0" xfId="73" applyFont="1" applyFill="1" applyBorder="1" applyAlignment="1">
      <alignment horizontal="left" vertical="top"/>
    </xf>
    <xf numFmtId="0" fontId="64" fillId="0" borderId="0" xfId="73" applyFont="1" applyFill="1" applyBorder="1" applyAlignment="1">
      <alignment horizontal="center" vertical="center"/>
    </xf>
    <xf numFmtId="1" fontId="64" fillId="0" borderId="0" xfId="73" applyNumberFormat="1" applyFont="1" applyFill="1" applyBorder="1" applyAlignment="1">
      <alignment horizontal="right" vertical="center"/>
    </xf>
    <xf numFmtId="41" fontId="64" fillId="0" borderId="0" xfId="73" applyNumberFormat="1" applyFont="1" applyFill="1" applyBorder="1" applyAlignment="1">
      <alignment horizontal="right"/>
    </xf>
    <xf numFmtId="0" fontId="18" fillId="0" borderId="0" xfId="0" applyFont="1" applyFill="1" applyBorder="1"/>
    <xf numFmtId="43" fontId="0" fillId="0" borderId="0" xfId="0" applyNumberFormat="1" applyFill="1" applyBorder="1" applyAlignment="1">
      <alignment vertical="center"/>
    </xf>
    <xf numFmtId="0" fontId="94" fillId="0" borderId="43" xfId="155" applyFont="1" applyBorder="1" applyAlignment="1">
      <alignment horizontal="justify" vertical="center"/>
    </xf>
    <xf numFmtId="0" fontId="3" fillId="0" borderId="0" xfId="155"/>
    <xf numFmtId="0" fontId="81" fillId="0" borderId="7" xfId="155" applyFont="1" applyBorder="1" applyAlignment="1">
      <alignment horizontal="justify" vertical="center"/>
    </xf>
    <xf numFmtId="0" fontId="97" fillId="0" borderId="0" xfId="155" applyFont="1" applyAlignment="1">
      <alignment horizontal="justify" vertical="center"/>
    </xf>
    <xf numFmtId="0" fontId="81" fillId="0" borderId="7" xfId="155" applyFont="1" applyBorder="1" applyAlignment="1">
      <alignment horizontal="justify" vertical="top"/>
    </xf>
    <xf numFmtId="0" fontId="81" fillId="0" borderId="7" xfId="155" applyFont="1" applyBorder="1" applyAlignment="1">
      <alignment horizontal="justify" vertical="center" wrapText="1"/>
    </xf>
    <xf numFmtId="0" fontId="83" fillId="0" borderId="7" xfId="155" applyFont="1" applyBorder="1" applyAlignment="1">
      <alignment horizontal="justify" vertical="center"/>
    </xf>
    <xf numFmtId="0" fontId="97" fillId="0" borderId="0" xfId="155" applyFont="1" applyAlignment="1">
      <alignment horizontal="left" vertical="center"/>
    </xf>
    <xf numFmtId="0" fontId="97" fillId="0" borderId="0" xfId="155" applyFont="1" applyAlignment="1">
      <alignment horizontal="left" vertical="center" wrapText="1"/>
    </xf>
    <xf numFmtId="0" fontId="98" fillId="0" borderId="7" xfId="155" applyFont="1" applyBorder="1" applyAlignment="1">
      <alignment horizontal="justify" vertical="center"/>
    </xf>
    <xf numFmtId="0" fontId="99" fillId="0" borderId="0" xfId="155" applyFont="1" applyAlignment="1">
      <alignment horizontal="justify" vertical="center"/>
    </xf>
    <xf numFmtId="0" fontId="3" fillId="0" borderId="7" xfId="155" applyFont="1" applyBorder="1"/>
    <xf numFmtId="0" fontId="81" fillId="0" borderId="7" xfId="155" applyFont="1" applyBorder="1" applyAlignment="1">
      <alignment horizontal="left" vertical="center"/>
    </xf>
    <xf numFmtId="0" fontId="81" fillId="0" borderId="0" xfId="155" applyFont="1"/>
    <xf numFmtId="0" fontId="81" fillId="0" borderId="0" xfId="155" applyFont="1" applyAlignment="1">
      <alignment horizontal="justify" vertical="center"/>
    </xf>
    <xf numFmtId="0" fontId="98" fillId="0" borderId="0" xfId="155" applyFont="1" applyAlignment="1">
      <alignment horizontal="left" vertical="center" wrapText="1"/>
    </xf>
    <xf numFmtId="0" fontId="98" fillId="0" borderId="0" xfId="155" applyFont="1" applyAlignment="1">
      <alignment horizontal="justify" vertical="center"/>
    </xf>
    <xf numFmtId="0" fontId="81" fillId="0" borderId="0" xfId="155" applyFont="1" applyAlignment="1">
      <alignment horizontal="left"/>
    </xf>
    <xf numFmtId="0" fontId="3" fillId="0" borderId="0" xfId="155" applyFont="1"/>
    <xf numFmtId="0" fontId="98" fillId="0" borderId="0" xfId="155" applyFont="1" applyBorder="1" applyAlignment="1">
      <alignment horizontal="justify" vertical="center"/>
    </xf>
    <xf numFmtId="0" fontId="81" fillId="0" borderId="0" xfId="155" applyFont="1" applyBorder="1" applyAlignment="1">
      <alignment horizontal="justify" vertical="center" wrapText="1"/>
    </xf>
    <xf numFmtId="0" fontId="3" fillId="0" borderId="94" xfId="155" applyFont="1" applyBorder="1"/>
    <xf numFmtId="0" fontId="3" fillId="0" borderId="0" xfId="155" applyFont="1" applyBorder="1"/>
    <xf numFmtId="0" fontId="81" fillId="0" borderId="94" xfId="155" applyFont="1" applyBorder="1" applyAlignment="1">
      <alignment horizontal="justify" vertical="center"/>
    </xf>
    <xf numFmtId="0" fontId="100" fillId="0" borderId="40" xfId="155" applyFont="1" applyBorder="1" applyAlignment="1">
      <alignment vertical="center"/>
    </xf>
    <xf numFmtId="0" fontId="2" fillId="0" borderId="7" xfId="155" applyFont="1" applyBorder="1"/>
    <xf numFmtId="173" fontId="70" fillId="0" borderId="16" xfId="1" applyNumberFormat="1" applyFont="1" applyBorder="1" applyAlignment="1">
      <alignment horizontal="right" vertical="center" wrapText="1"/>
    </xf>
    <xf numFmtId="43" fontId="76" fillId="0" borderId="12" xfId="1" applyNumberFormat="1" applyFont="1" applyFill="1" applyBorder="1"/>
    <xf numFmtId="43" fontId="76" fillId="0" borderId="12" xfId="0" applyNumberFormat="1" applyFont="1" applyBorder="1"/>
    <xf numFmtId="43" fontId="76" fillId="0" borderId="12" xfId="0" applyNumberFormat="1" applyFont="1" applyFill="1" applyBorder="1"/>
    <xf numFmtId="170" fontId="76" fillId="0" borderId="0" xfId="0" applyNumberFormat="1" applyFont="1" applyBorder="1" applyAlignment="1">
      <alignment horizontal="left" wrapText="1"/>
    </xf>
    <xf numFmtId="43" fontId="70" fillId="0" borderId="47" xfId="0" applyNumberFormat="1" applyFont="1" applyFill="1" applyBorder="1"/>
    <xf numFmtId="0" fontId="70" fillId="0" borderId="48" xfId="0" applyFont="1" applyFill="1" applyBorder="1" applyAlignment="1">
      <alignment horizontal="center" vertical="center"/>
    </xf>
    <xf numFmtId="0" fontId="70" fillId="0" borderId="41" xfId="0" applyFont="1" applyFill="1" applyBorder="1" applyAlignment="1">
      <alignment horizontal="center" vertical="center"/>
    </xf>
    <xf numFmtId="43" fontId="70" fillId="0" borderId="47" xfId="1" applyNumberFormat="1" applyFont="1" applyFill="1" applyBorder="1"/>
    <xf numFmtId="4" fontId="76" fillId="2" borderId="0" xfId="1" applyNumberFormat="1" applyFont="1" applyFill="1" applyBorder="1" applyAlignment="1">
      <alignment vertical="top"/>
    </xf>
    <xf numFmtId="43" fontId="66" fillId="0" borderId="0" xfId="1" applyFont="1" applyBorder="1" applyAlignment="1">
      <alignment vertical="top" wrapText="1"/>
    </xf>
    <xf numFmtId="0" fontId="76" fillId="0" borderId="95" xfId="73" quotePrefix="1" applyFont="1" applyFill="1" applyBorder="1" applyAlignment="1" applyProtection="1">
      <alignment horizontal="left"/>
    </xf>
    <xf numFmtId="43" fontId="76" fillId="0" borderId="66" xfId="1" applyFont="1" applyFill="1" applyBorder="1" applyAlignment="1" applyProtection="1">
      <alignment horizontal="right"/>
    </xf>
    <xf numFmtId="0" fontId="64" fillId="0" borderId="0" xfId="20" applyFont="1" applyFill="1" applyBorder="1" applyAlignment="1">
      <alignment vertical="top"/>
    </xf>
    <xf numFmtId="0" fontId="64" fillId="0" borderId="0" xfId="20" applyFont="1" applyFill="1" applyBorder="1"/>
    <xf numFmtId="0" fontId="70" fillId="0" borderId="98" xfId="20" applyNumberFormat="1" applyFont="1" applyFill="1" applyBorder="1" applyAlignment="1">
      <alignment horizontal="center" vertical="top" wrapText="1"/>
    </xf>
    <xf numFmtId="0" fontId="70" fillId="0" borderId="10" xfId="20" applyNumberFormat="1" applyFont="1" applyFill="1" applyBorder="1" applyAlignment="1">
      <alignment horizontal="center" vertical="top" wrapText="1"/>
    </xf>
    <xf numFmtId="4" fontId="70" fillId="0" borderId="99" xfId="1" applyNumberFormat="1" applyFont="1" applyFill="1" applyBorder="1" applyAlignment="1">
      <alignment horizontal="right" vertical="top" wrapText="1"/>
    </xf>
    <xf numFmtId="49" fontId="76" fillId="0" borderId="100" xfId="53" applyNumberFormat="1" applyFont="1" applyFill="1" applyBorder="1" applyAlignment="1">
      <alignment horizontal="center" vertical="center" wrapText="1"/>
    </xf>
    <xf numFmtId="165" fontId="76" fillId="0" borderId="101" xfId="53" applyNumberFormat="1" applyFont="1" applyFill="1" applyBorder="1" applyAlignment="1">
      <alignment horizontal="right" vertical="center" wrapText="1"/>
    </xf>
    <xf numFmtId="49" fontId="76" fillId="0" borderId="102" xfId="53" applyNumberFormat="1" applyFont="1" applyFill="1" applyBorder="1" applyAlignment="1">
      <alignment horizontal="center" vertical="center" wrapText="1"/>
    </xf>
    <xf numFmtId="165" fontId="76" fillId="0" borderId="103" xfId="53" applyNumberFormat="1" applyFont="1" applyFill="1" applyBorder="1" applyAlignment="1">
      <alignment horizontal="right" vertical="center" wrapText="1"/>
    </xf>
    <xf numFmtId="49" fontId="76" fillId="0" borderId="34" xfId="53" applyNumberFormat="1" applyFont="1" applyFill="1" applyBorder="1" applyAlignment="1">
      <alignment horizontal="center" vertical="center" wrapText="1"/>
    </xf>
    <xf numFmtId="0" fontId="76" fillId="0" borderId="7" xfId="53" applyFont="1" applyFill="1" applyBorder="1" applyAlignment="1">
      <alignment vertical="center" wrapText="1"/>
    </xf>
    <xf numFmtId="0" fontId="76" fillId="0" borderId="7" xfId="53" applyFont="1" applyFill="1" applyBorder="1" applyAlignment="1">
      <alignment horizontal="center" vertical="center" wrapText="1"/>
    </xf>
    <xf numFmtId="172" fontId="76" fillId="0" borderId="7" xfId="53" applyNumberFormat="1" applyFont="1" applyFill="1" applyBorder="1" applyAlignment="1">
      <alignment horizontal="right" vertical="center" wrapText="1"/>
    </xf>
    <xf numFmtId="165" fontId="76" fillId="0" borderId="33" xfId="53" applyNumberFormat="1" applyFont="1" applyFill="1" applyBorder="1" applyAlignment="1">
      <alignment horizontal="right" vertical="center" wrapText="1"/>
    </xf>
    <xf numFmtId="49" fontId="76" fillId="0" borderId="38" xfId="53" applyNumberFormat="1" applyFont="1" applyFill="1" applyBorder="1" applyAlignment="1">
      <alignment horizontal="center" vertical="center" wrapText="1"/>
    </xf>
    <xf numFmtId="0" fontId="70" fillId="0" borderId="102" xfId="13" applyFont="1" applyFill="1" applyBorder="1" applyAlignment="1">
      <alignment horizontal="center" vertical="top" wrapText="1"/>
    </xf>
    <xf numFmtId="43" fontId="76" fillId="0" borderId="52" xfId="156" applyFont="1" applyFill="1" applyBorder="1" applyAlignment="1" applyProtection="1">
      <alignment horizontal="center" vertical="center" wrapText="1"/>
      <protection locked="0"/>
    </xf>
    <xf numFmtId="43" fontId="76" fillId="0" borderId="103" xfId="156" applyFont="1" applyFill="1" applyBorder="1" applyAlignment="1" applyProtection="1">
      <alignment horizontal="center" vertical="center" wrapText="1"/>
      <protection locked="0"/>
    </xf>
    <xf numFmtId="0" fontId="1" fillId="0" borderId="0" xfId="20" applyFont="1" applyFill="1" applyAlignment="1">
      <alignment vertical="center"/>
    </xf>
    <xf numFmtId="0" fontId="76" fillId="0" borderId="102" xfId="13" applyFont="1" applyFill="1" applyBorder="1" applyAlignment="1">
      <alignment horizontal="center" vertical="top" wrapText="1"/>
    </xf>
    <xf numFmtId="0" fontId="70" fillId="0" borderId="102" xfId="13" applyFont="1" applyFill="1" applyBorder="1" applyAlignment="1">
      <alignment horizontal="center" vertical="center" wrapText="1"/>
    </xf>
    <xf numFmtId="0" fontId="76" fillId="0" borderId="102" xfId="13" applyFont="1" applyFill="1" applyBorder="1" applyAlignment="1">
      <alignment horizontal="center" vertical="center" wrapText="1"/>
    </xf>
    <xf numFmtId="43" fontId="76" fillId="0" borderId="52" xfId="156" applyFont="1" applyFill="1" applyBorder="1" applyAlignment="1" applyProtection="1">
      <alignment horizontal="center" wrapText="1"/>
      <protection locked="0"/>
    </xf>
    <xf numFmtId="43" fontId="76" fillId="0" borderId="103" xfId="14" applyFont="1" applyFill="1" applyBorder="1" applyAlignment="1" applyProtection="1">
      <alignment horizontal="center" wrapText="1"/>
    </xf>
    <xf numFmtId="0" fontId="1" fillId="0" borderId="0" xfId="20" applyFont="1" applyFill="1"/>
    <xf numFmtId="172" fontId="76" fillId="0" borderId="7" xfId="53" applyNumberFormat="1" applyFont="1" applyFill="1" applyBorder="1" applyAlignment="1">
      <alignment horizontal="center" vertical="center" wrapText="1"/>
    </xf>
    <xf numFmtId="38" fontId="76" fillId="0" borderId="102" xfId="53" applyNumberFormat="1" applyFont="1" applyFill="1" applyBorder="1" applyAlignment="1">
      <alignment horizontal="center" vertical="center" wrapText="1"/>
    </xf>
    <xf numFmtId="40" fontId="76" fillId="0" borderId="103" xfId="53" applyNumberFormat="1" applyFont="1" applyFill="1" applyBorder="1" applyAlignment="1">
      <alignment horizontal="center" vertical="center" wrapText="1"/>
    </xf>
    <xf numFmtId="179" fontId="76" fillId="0" borderId="34" xfId="53" applyNumberFormat="1" applyFont="1" applyFill="1" applyBorder="1" applyAlignment="1">
      <alignment horizontal="center" vertical="center" wrapText="1"/>
    </xf>
    <xf numFmtId="38" fontId="76" fillId="0" borderId="7" xfId="53" applyNumberFormat="1" applyFont="1" applyFill="1" applyBorder="1" applyAlignment="1">
      <alignment horizontal="left" vertical="center" wrapText="1"/>
    </xf>
    <xf numFmtId="38" fontId="76" fillId="0" borderId="7" xfId="53" applyNumberFormat="1" applyFont="1" applyFill="1" applyBorder="1" applyAlignment="1">
      <alignment horizontal="center" vertical="center" wrapText="1"/>
    </xf>
    <xf numFmtId="38" fontId="76" fillId="0" borderId="7" xfId="22" applyNumberFormat="1" applyFont="1" applyFill="1" applyBorder="1" applyAlignment="1">
      <alignment horizontal="center" vertical="center" wrapText="1"/>
    </xf>
    <xf numFmtId="40" fontId="76" fillId="0" borderId="33" xfId="53" applyNumberFormat="1" applyFont="1" applyFill="1" applyBorder="1" applyAlignment="1">
      <alignment horizontal="center" vertical="center" wrapText="1"/>
    </xf>
    <xf numFmtId="38" fontId="76" fillId="0" borderId="34" xfId="53" applyNumberFormat="1" applyFont="1" applyFill="1" applyBorder="1" applyAlignment="1">
      <alignment horizontal="center" vertical="center" wrapText="1"/>
    </xf>
    <xf numFmtId="0" fontId="76" fillId="2" borderId="104" xfId="20" applyFont="1" applyFill="1" applyBorder="1" applyAlignment="1">
      <alignment horizontal="center" vertical="top" wrapText="1"/>
    </xf>
    <xf numFmtId="0" fontId="76" fillId="2" borderId="5" xfId="20" applyFont="1" applyFill="1" applyBorder="1" applyAlignment="1">
      <alignment horizontal="left" vertical="top" wrapText="1"/>
    </xf>
    <xf numFmtId="0" fontId="76" fillId="2" borderId="5" xfId="20" applyFont="1" applyFill="1" applyBorder="1" applyAlignment="1">
      <alignment horizontal="left" vertical="top"/>
    </xf>
    <xf numFmtId="3" fontId="76" fillId="2" borderId="5" xfId="20" applyNumberFormat="1" applyFont="1" applyFill="1" applyBorder="1" applyAlignment="1">
      <alignment horizontal="right" vertical="top"/>
    </xf>
    <xf numFmtId="4" fontId="76" fillId="2" borderId="101" xfId="1" applyNumberFormat="1" applyFont="1" applyFill="1" applyBorder="1" applyAlignment="1">
      <alignment vertical="top"/>
    </xf>
    <xf numFmtId="0" fontId="70" fillId="2" borderId="38" xfId="20" applyFont="1" applyFill="1" applyBorder="1" applyAlignment="1">
      <alignment horizontal="center" vertical="top"/>
    </xf>
    <xf numFmtId="0" fontId="70" fillId="2" borderId="0" xfId="20" applyFont="1" applyFill="1" applyBorder="1" applyAlignment="1">
      <alignment vertical="top" wrapText="1"/>
    </xf>
    <xf numFmtId="0" fontId="70" fillId="2" borderId="0" xfId="20" applyNumberFormat="1" applyFont="1" applyFill="1" applyBorder="1" applyAlignment="1">
      <alignment horizontal="left" vertical="top"/>
    </xf>
    <xf numFmtId="4" fontId="70" fillId="2" borderId="33" xfId="1" applyNumberFormat="1" applyFont="1" applyFill="1" applyBorder="1" applyAlignment="1">
      <alignment vertical="top"/>
    </xf>
    <xf numFmtId="0" fontId="76" fillId="2" borderId="105" xfId="20" applyFont="1" applyFill="1" applyBorder="1" applyAlignment="1">
      <alignment horizontal="center" vertical="top"/>
    </xf>
    <xf numFmtId="0" fontId="76" fillId="2" borderId="55" xfId="20" applyFont="1" applyFill="1" applyBorder="1" applyAlignment="1">
      <alignment vertical="top" wrapText="1"/>
    </xf>
    <xf numFmtId="0" fontId="76" fillId="2" borderId="55" xfId="20" applyFont="1" applyFill="1" applyBorder="1" applyAlignment="1">
      <alignment horizontal="left" vertical="top"/>
    </xf>
    <xf numFmtId="3" fontId="76" fillId="2" borderId="55" xfId="20" applyNumberFormat="1" applyFont="1" applyFill="1" applyBorder="1" applyAlignment="1">
      <alignment horizontal="right" vertical="top"/>
    </xf>
    <xf numFmtId="3" fontId="76" fillId="2" borderId="54" xfId="4" applyNumberFormat="1" applyFont="1" applyFill="1" applyBorder="1" applyAlignment="1">
      <alignment vertical="top"/>
    </xf>
    <xf numFmtId="4" fontId="76" fillId="2" borderId="106" xfId="1" applyNumberFormat="1" applyFont="1" applyFill="1" applyBorder="1" applyAlignment="1">
      <alignment vertical="top"/>
    </xf>
    <xf numFmtId="0" fontId="70" fillId="0" borderId="107" xfId="20" applyNumberFormat="1" applyFont="1" applyFill="1" applyBorder="1" applyAlignment="1">
      <alignment horizontal="center" vertical="top" wrapText="1"/>
    </xf>
    <xf numFmtId="0" fontId="70" fillId="0" borderId="108" xfId="20" applyNumberFormat="1" applyFont="1" applyFill="1" applyBorder="1" applyAlignment="1">
      <alignment horizontal="center" vertical="top" wrapText="1"/>
    </xf>
    <xf numFmtId="3" fontId="70" fillId="0" borderId="108" xfId="1" applyNumberFormat="1" applyFont="1" applyFill="1" applyBorder="1" applyAlignment="1">
      <alignment horizontal="right" vertical="top" wrapText="1"/>
    </xf>
    <xf numFmtId="4" fontId="70" fillId="0" borderId="109" xfId="1" applyNumberFormat="1" applyFont="1" applyFill="1" applyBorder="1" applyAlignment="1">
      <alignment horizontal="right" vertical="top" wrapText="1"/>
    </xf>
    <xf numFmtId="2" fontId="76" fillId="2" borderId="38" xfId="53" applyNumberFormat="1" applyFont="1" applyFill="1" applyBorder="1" applyAlignment="1">
      <alignment horizontal="center" vertical="center" wrapText="1"/>
    </xf>
    <xf numFmtId="40" fontId="76" fillId="2" borderId="103" xfId="53" applyNumberFormat="1" applyFont="1" applyFill="1" applyBorder="1" applyAlignment="1">
      <alignment horizontal="center" vertical="center" wrapText="1"/>
    </xf>
    <xf numFmtId="38" fontId="76" fillId="0" borderId="34" xfId="53" applyNumberFormat="1" applyFont="1" applyFill="1" applyBorder="1" applyAlignment="1">
      <alignment vertical="center" wrapText="1"/>
    </xf>
    <xf numFmtId="38" fontId="76" fillId="0" borderId="110" xfId="53" applyNumberFormat="1" applyFont="1" applyFill="1" applyBorder="1" applyAlignment="1">
      <alignment vertical="center" wrapText="1"/>
    </xf>
    <xf numFmtId="4" fontId="76" fillId="0" borderId="111" xfId="18" applyNumberFormat="1" applyFont="1" applyFill="1" applyBorder="1" applyAlignment="1">
      <alignment horizontal="center"/>
    </xf>
    <xf numFmtId="43" fontId="76" fillId="0" borderId="103" xfId="14" applyFont="1" applyFill="1" applyBorder="1" applyAlignment="1" applyProtection="1">
      <alignment horizontal="center" vertical="center" wrapText="1"/>
    </xf>
    <xf numFmtId="4" fontId="76" fillId="0" borderId="91" xfId="20" applyNumberFormat="1" applyFont="1" applyFill="1" applyBorder="1" applyAlignment="1">
      <alignment horizontal="left" vertical="center" wrapText="1"/>
    </xf>
    <xf numFmtId="0" fontId="76" fillId="0" borderId="52" xfId="20" applyNumberFormat="1" applyFont="1" applyFill="1" applyBorder="1" applyAlignment="1">
      <alignment horizontal="center" vertical="center" wrapText="1"/>
    </xf>
    <xf numFmtId="43" fontId="76" fillId="0" borderId="60" xfId="1" applyFont="1" applyFill="1" applyBorder="1" applyAlignment="1">
      <alignment horizontal="right" vertical="center" wrapText="1"/>
    </xf>
    <xf numFmtId="4" fontId="76" fillId="0" borderId="112" xfId="18" applyNumberFormat="1" applyFont="1" applyFill="1" applyBorder="1" applyAlignment="1">
      <alignment horizontal="center"/>
    </xf>
    <xf numFmtId="4" fontId="63" fillId="0" borderId="52" xfId="20" applyNumberFormat="1" applyFont="1" applyFill="1" applyBorder="1" applyAlignment="1">
      <alignment horizontal="left" vertical="center" wrapText="1"/>
    </xf>
    <xf numFmtId="168" fontId="70" fillId="0" borderId="34" xfId="20" applyNumberFormat="1" applyFont="1" applyBorder="1" applyAlignment="1">
      <alignment horizontal="center" vertical="top" wrapText="1"/>
    </xf>
    <xf numFmtId="0" fontId="63" fillId="0" borderId="7" xfId="20" applyFont="1" applyBorder="1" applyAlignment="1">
      <alignment horizontal="left" vertical="top" wrapText="1"/>
    </xf>
    <xf numFmtId="0" fontId="76" fillId="0" borderId="7" xfId="20" applyFont="1" applyBorder="1" applyAlignment="1">
      <alignment vertical="top" wrapText="1"/>
    </xf>
    <xf numFmtId="43" fontId="76" fillId="0" borderId="52" xfId="156" applyFont="1" applyBorder="1" applyAlignment="1">
      <alignment vertical="top" wrapText="1"/>
    </xf>
    <xf numFmtId="43" fontId="76" fillId="0" borderId="39" xfId="156" applyFont="1" applyBorder="1" applyAlignment="1">
      <alignment vertical="top" wrapText="1"/>
    </xf>
    <xf numFmtId="177" fontId="76" fillId="0" borderId="102" xfId="154" applyNumberFormat="1" applyFont="1" applyBorder="1" applyAlignment="1">
      <alignment vertical="top" wrapText="1"/>
    </xf>
    <xf numFmtId="0" fontId="76" fillId="0" borderId="52" xfId="20" applyFont="1" applyBorder="1" applyAlignment="1">
      <alignment vertical="top" wrapText="1"/>
    </xf>
    <xf numFmtId="0" fontId="76" fillId="0" borderId="52" xfId="20" applyFont="1" applyBorder="1" applyAlignment="1">
      <alignment horizontal="center" vertical="center" wrapText="1"/>
    </xf>
    <xf numFmtId="43" fontId="76" fillId="0" borderId="87" xfId="156" applyFont="1" applyFill="1" applyBorder="1" applyAlignment="1">
      <alignment horizontal="right" vertical="center" wrapText="1"/>
    </xf>
    <xf numFmtId="43" fontId="76" fillId="0" borderId="103" xfId="156" applyFont="1" applyFill="1" applyBorder="1" applyAlignment="1">
      <alignment horizontal="right" vertical="center" wrapText="1"/>
    </xf>
    <xf numFmtId="177" fontId="76" fillId="0" borderId="34" xfId="154" applyNumberFormat="1" applyFont="1" applyBorder="1" applyAlignment="1">
      <alignment vertical="top" wrapText="1"/>
    </xf>
    <xf numFmtId="0" fontId="70" fillId="0" borderId="7" xfId="20" applyFont="1" applyBorder="1" applyAlignment="1">
      <alignment vertical="top" wrapText="1"/>
    </xf>
    <xf numFmtId="0" fontId="76" fillId="0" borderId="7" xfId="20" applyFont="1" applyBorder="1" applyAlignment="1">
      <alignment horizontal="center" wrapText="1"/>
    </xf>
    <xf numFmtId="43" fontId="76" fillId="0" borderId="94" xfId="156" applyFont="1" applyFill="1" applyBorder="1" applyAlignment="1">
      <alignment horizontal="right" wrapText="1"/>
    </xf>
    <xf numFmtId="43" fontId="76" fillId="0" borderId="103" xfId="156" applyFont="1" applyFill="1" applyBorder="1" applyAlignment="1">
      <alignment horizontal="right" wrapText="1"/>
    </xf>
    <xf numFmtId="177" fontId="65" fillId="0" borderId="113" xfId="154" applyNumberFormat="1" applyFont="1" applyBorder="1" applyAlignment="1">
      <alignment vertical="top" wrapText="1"/>
    </xf>
    <xf numFmtId="0" fontId="65" fillId="0" borderId="44" xfId="20" applyFont="1" applyBorder="1" applyAlignment="1">
      <alignment vertical="top" wrapText="1"/>
    </xf>
    <xf numFmtId="0" fontId="65" fillId="0" borderId="44" xfId="20" applyFont="1" applyBorder="1" applyAlignment="1">
      <alignment horizontal="center" wrapText="1"/>
    </xf>
    <xf numFmtId="43" fontId="65" fillId="0" borderId="44" xfId="156" applyFont="1" applyFill="1" applyBorder="1" applyAlignment="1">
      <alignment horizontal="right" wrapText="1"/>
    </xf>
    <xf numFmtId="43" fontId="65" fillId="0" borderId="114" xfId="156" applyFont="1" applyFill="1" applyBorder="1" applyAlignment="1">
      <alignment horizontal="right" wrapText="1"/>
    </xf>
    <xf numFmtId="0" fontId="101" fillId="0" borderId="0" xfId="20" applyFont="1"/>
    <xf numFmtId="177" fontId="64" fillId="0" borderId="113" xfId="154" applyNumberFormat="1" applyFont="1" applyBorder="1" applyAlignment="1">
      <alignment vertical="top" wrapText="1"/>
    </xf>
    <xf numFmtId="0" fontId="64" fillId="0" borderId="44" xfId="20" applyFont="1" applyBorder="1" applyAlignment="1">
      <alignment vertical="top" wrapText="1"/>
    </xf>
    <xf numFmtId="0" fontId="64" fillId="0" borderId="44" xfId="20" applyFont="1" applyBorder="1" applyAlignment="1">
      <alignment horizontal="center" wrapText="1"/>
    </xf>
    <xf numFmtId="43" fontId="64" fillId="0" borderId="44" xfId="156" applyFont="1" applyFill="1" applyBorder="1" applyAlignment="1">
      <alignment horizontal="right" wrapText="1"/>
    </xf>
    <xf numFmtId="43" fontId="64" fillId="0" borderId="114" xfId="156" applyFont="1" applyFill="1" applyBorder="1" applyAlignment="1">
      <alignment horizontal="right" wrapText="1"/>
    </xf>
    <xf numFmtId="0" fontId="102" fillId="0" borderId="0" xfId="20" applyFont="1"/>
    <xf numFmtId="168" fontId="58" fillId="0" borderId="113" xfId="20" applyNumberFormat="1" applyFont="1" applyBorder="1" applyAlignment="1">
      <alignment horizontal="right" vertical="top" wrapText="1"/>
    </xf>
    <xf numFmtId="0" fontId="58" fillId="0" borderId="44" xfId="20" applyFont="1" applyBorder="1" applyAlignment="1">
      <alignment vertical="top" wrapText="1"/>
    </xf>
    <xf numFmtId="0" fontId="58" fillId="0" borderId="44" xfId="20" applyFont="1" applyBorder="1" applyAlignment="1">
      <alignment horizontal="center" wrapText="1"/>
    </xf>
    <xf numFmtId="170" fontId="58" fillId="0" borderId="44" xfId="156" applyNumberFormat="1" applyFont="1" applyBorder="1" applyAlignment="1">
      <alignment horizontal="center" wrapText="1"/>
    </xf>
    <xf numFmtId="165" fontId="58" fillId="0" borderId="115" xfId="156" applyNumberFormat="1" applyFont="1" applyBorder="1" applyAlignment="1">
      <alignment horizontal="right" wrapText="1"/>
    </xf>
    <xf numFmtId="0" fontId="58" fillId="0" borderId="0" xfId="20" applyFont="1" applyBorder="1" applyAlignment="1">
      <alignment horizontal="center" wrapText="1"/>
    </xf>
    <xf numFmtId="9" fontId="58" fillId="0" borderId="0" xfId="157" applyFont="1" applyBorder="1" applyAlignment="1">
      <alignment wrapText="1"/>
    </xf>
    <xf numFmtId="43" fontId="58" fillId="0" borderId="0" xfId="156" applyFont="1" applyBorder="1" applyAlignment="1">
      <alignment wrapText="1"/>
    </xf>
    <xf numFmtId="0" fontId="58" fillId="0" borderId="0" xfId="20" applyFont="1" applyBorder="1" applyAlignment="1">
      <alignment wrapText="1"/>
    </xf>
    <xf numFmtId="170" fontId="58" fillId="0" borderId="48" xfId="156" applyNumberFormat="1" applyFont="1" applyBorder="1" applyAlignment="1">
      <alignment horizontal="center" wrapText="1"/>
    </xf>
    <xf numFmtId="0" fontId="64" fillId="0" borderId="44" xfId="20" applyFont="1" applyBorder="1" applyAlignment="1">
      <alignment horizontal="center" vertical="center" wrapText="1"/>
    </xf>
    <xf numFmtId="43" fontId="64" fillId="0" borderId="44" xfId="156" applyFont="1" applyFill="1" applyBorder="1" applyAlignment="1">
      <alignment horizontal="right" vertical="center" wrapText="1"/>
    </xf>
    <xf numFmtId="43" fontId="64" fillId="0" borderId="114" xfId="156" applyFont="1" applyFill="1" applyBorder="1" applyAlignment="1">
      <alignment horizontal="right" vertical="center" wrapText="1"/>
    </xf>
    <xf numFmtId="177" fontId="64" fillId="0" borderId="113" xfId="154" applyNumberFormat="1" applyFont="1" applyBorder="1" applyAlignment="1">
      <alignment horizontal="right" vertical="top" wrapText="1"/>
    </xf>
    <xf numFmtId="177" fontId="64" fillId="0" borderId="38" xfId="154" applyNumberFormat="1" applyFont="1" applyBorder="1" applyAlignment="1">
      <alignment vertical="top" wrapText="1"/>
    </xf>
    <xf numFmtId="0" fontId="64" fillId="0" borderId="43" xfId="20" applyFont="1" applyBorder="1" applyAlignment="1">
      <alignment vertical="top" wrapText="1"/>
    </xf>
    <xf numFmtId="0" fontId="64" fillId="0" borderId="43" xfId="20" applyFont="1" applyBorder="1" applyAlignment="1">
      <alignment horizontal="center" wrapText="1"/>
    </xf>
    <xf numFmtId="0" fontId="64" fillId="0" borderId="0" xfId="20" applyFont="1" applyBorder="1" applyAlignment="1">
      <alignment horizontal="center" wrapText="1"/>
    </xf>
    <xf numFmtId="43" fontId="64" fillId="0" borderId="43" xfId="156" applyFont="1" applyFill="1" applyBorder="1" applyAlignment="1">
      <alignment horizontal="right" wrapText="1"/>
    </xf>
    <xf numFmtId="43" fontId="64" fillId="0" borderId="39" xfId="156" applyFont="1" applyFill="1" applyBorder="1" applyAlignment="1">
      <alignment horizontal="right" wrapText="1"/>
    </xf>
    <xf numFmtId="0" fontId="64" fillId="0" borderId="48" xfId="20" applyFont="1" applyBorder="1" applyAlignment="1">
      <alignment horizontal="center" wrapText="1"/>
    </xf>
    <xf numFmtId="0" fontId="64" fillId="0" borderId="0" xfId="20" applyFont="1" applyBorder="1" applyAlignment="1">
      <alignment vertical="top" wrapText="1"/>
    </xf>
    <xf numFmtId="43" fontId="64" fillId="0" borderId="7" xfId="156" applyFont="1" applyFill="1" applyBorder="1" applyAlignment="1">
      <alignment horizontal="right" wrapText="1"/>
    </xf>
    <xf numFmtId="177" fontId="64" fillId="0" borderId="102" xfId="154" applyNumberFormat="1" applyFont="1" applyBorder="1" applyAlignment="1">
      <alignment vertical="top" wrapText="1"/>
    </xf>
    <xf numFmtId="0" fontId="102" fillId="0" borderId="116" xfId="20" applyFont="1" applyBorder="1" applyAlignment="1">
      <alignment horizontal="left" vertical="top" wrapText="1"/>
    </xf>
    <xf numFmtId="0" fontId="102" fillId="0" borderId="117" xfId="20" applyFont="1" applyBorder="1" applyAlignment="1">
      <alignment vertical="top" wrapText="1"/>
    </xf>
    <xf numFmtId="0" fontId="102" fillId="0" borderId="117" xfId="20" applyFont="1" applyBorder="1" applyAlignment="1">
      <alignment horizontal="center" vertical="top" wrapText="1"/>
    </xf>
    <xf numFmtId="43" fontId="76" fillId="0" borderId="89" xfId="156" applyFont="1" applyFill="1" applyBorder="1" applyAlignment="1">
      <alignment horizontal="right" vertical="center" wrapText="1"/>
    </xf>
    <xf numFmtId="43" fontId="76" fillId="0" borderId="60" xfId="156" applyFont="1" applyFill="1" applyBorder="1" applyAlignment="1">
      <alignment horizontal="right" vertical="center" wrapText="1"/>
    </xf>
    <xf numFmtId="177" fontId="76" fillId="0" borderId="118" xfId="154" applyNumberFormat="1" applyFont="1" applyBorder="1" applyAlignment="1">
      <alignment vertical="top" wrapText="1"/>
    </xf>
    <xf numFmtId="0" fontId="76" fillId="0" borderId="40" xfId="20" applyFont="1" applyBorder="1" applyAlignment="1">
      <alignment vertical="top" wrapText="1"/>
    </xf>
    <xf numFmtId="0" fontId="76" fillId="0" borderId="40" xfId="20" applyFont="1" applyBorder="1" applyAlignment="1">
      <alignment horizontal="center" wrapText="1"/>
    </xf>
    <xf numFmtId="0" fontId="76" fillId="0" borderId="40" xfId="20" applyFont="1" applyBorder="1" applyAlignment="1">
      <alignment horizontal="center" vertical="center" wrapText="1"/>
    </xf>
    <xf numFmtId="43" fontId="76" fillId="0" borderId="40" xfId="156" applyFont="1" applyFill="1" applyBorder="1" applyAlignment="1">
      <alignment horizontal="right" vertical="center" wrapText="1"/>
    </xf>
    <xf numFmtId="43" fontId="76" fillId="0" borderId="39" xfId="156" applyFont="1" applyFill="1" applyBorder="1" applyAlignment="1">
      <alignment horizontal="right" vertical="center" wrapText="1"/>
    </xf>
    <xf numFmtId="0" fontId="70" fillId="2" borderId="119" xfId="20" applyFont="1" applyFill="1" applyBorder="1" applyAlignment="1">
      <alignment horizontal="center" vertical="top"/>
    </xf>
    <xf numFmtId="0" fontId="70" fillId="2" borderId="120" xfId="20" applyFont="1" applyFill="1" applyBorder="1" applyAlignment="1">
      <alignment vertical="top" wrapText="1"/>
    </xf>
    <xf numFmtId="0" fontId="70" fillId="2" borderId="120" xfId="20" applyNumberFormat="1" applyFont="1" applyFill="1" applyBorder="1" applyAlignment="1">
      <alignment horizontal="left" vertical="top"/>
    </xf>
    <xf numFmtId="3" fontId="70" fillId="2" borderId="120" xfId="1" applyNumberFormat="1" applyFont="1" applyFill="1" applyBorder="1" applyAlignment="1">
      <alignment horizontal="right" vertical="top"/>
    </xf>
    <xf numFmtId="3" fontId="70" fillId="2" borderId="120" xfId="1" applyNumberFormat="1" applyFont="1" applyFill="1" applyBorder="1" applyAlignment="1">
      <alignment vertical="top"/>
    </xf>
    <xf numFmtId="43" fontId="70" fillId="0" borderId="121" xfId="156" applyFont="1" applyFill="1" applyBorder="1" applyAlignment="1">
      <alignment horizontal="right"/>
    </xf>
    <xf numFmtId="177" fontId="76" fillId="0" borderId="79" xfId="154" applyNumberFormat="1" applyFont="1" applyBorder="1"/>
    <xf numFmtId="0" fontId="63" fillId="0" borderId="1" xfId="20" applyFont="1" applyBorder="1" applyAlignment="1">
      <alignment vertical="top" wrapText="1"/>
    </xf>
    <xf numFmtId="0" fontId="70" fillId="0" borderId="0" xfId="20" applyFont="1" applyBorder="1"/>
    <xf numFmtId="0" fontId="93" fillId="0" borderId="89" xfId="20" applyFont="1" applyBorder="1" applyAlignment="1">
      <alignment horizontal="center"/>
    </xf>
    <xf numFmtId="43" fontId="70" fillId="0" borderId="0" xfId="156" applyFont="1" applyFill="1" applyBorder="1" applyAlignment="1">
      <alignment horizontal="right"/>
    </xf>
    <xf numFmtId="43" fontId="70" fillId="0" borderId="92" xfId="156" applyFont="1" applyFill="1" applyBorder="1" applyAlignment="1">
      <alignment horizontal="right"/>
    </xf>
    <xf numFmtId="11" fontId="76" fillId="2" borderId="2" xfId="20" applyNumberFormat="1" applyFont="1" applyFill="1" applyBorder="1" applyAlignment="1">
      <alignment horizontal="center" vertical="top" wrapText="1"/>
    </xf>
    <xf numFmtId="0" fontId="76" fillId="2" borderId="1" xfId="20" applyNumberFormat="1" applyFont="1" applyFill="1" applyBorder="1" applyAlignment="1">
      <alignment vertical="top" wrapText="1"/>
    </xf>
    <xf numFmtId="0" fontId="76" fillId="2" borderId="7" xfId="20" applyNumberFormat="1" applyFont="1" applyFill="1" applyBorder="1" applyAlignment="1">
      <alignment horizontal="center" vertical="top" wrapText="1"/>
    </xf>
    <xf numFmtId="0" fontId="76" fillId="2" borderId="20" xfId="20" applyFont="1" applyFill="1" applyBorder="1" applyAlignment="1">
      <alignment horizontal="center" vertical="top" wrapText="1"/>
    </xf>
    <xf numFmtId="0" fontId="70" fillId="2" borderId="37" xfId="20" applyFont="1" applyFill="1" applyBorder="1" applyAlignment="1">
      <alignment horizontal="center" vertical="top"/>
    </xf>
    <xf numFmtId="0" fontId="76" fillId="2" borderId="3" xfId="20" applyFont="1" applyFill="1" applyBorder="1" applyAlignment="1">
      <alignment horizontal="center" vertical="top"/>
    </xf>
    <xf numFmtId="0" fontId="76" fillId="2" borderId="4" xfId="20" applyFont="1" applyFill="1" applyBorder="1" applyAlignment="1">
      <alignment vertical="top" wrapText="1"/>
    </xf>
    <xf numFmtId="0" fontId="76" fillId="2" borderId="4" xfId="20" applyFont="1" applyFill="1" applyBorder="1" applyAlignment="1">
      <alignment horizontal="left" vertical="top"/>
    </xf>
    <xf numFmtId="3" fontId="76" fillId="2" borderId="4" xfId="20" applyNumberFormat="1" applyFont="1" applyFill="1" applyBorder="1" applyAlignment="1">
      <alignment horizontal="right" vertical="top"/>
    </xf>
    <xf numFmtId="0" fontId="76" fillId="2" borderId="37" xfId="20" applyFont="1" applyFill="1" applyBorder="1" applyAlignment="1">
      <alignment horizontal="center" vertical="top"/>
    </xf>
    <xf numFmtId="0" fontId="76" fillId="2" borderId="0" xfId="20" applyFont="1" applyFill="1" applyBorder="1" applyAlignment="1">
      <alignment vertical="top" wrapText="1"/>
    </xf>
    <xf numFmtId="0" fontId="76" fillId="2" borderId="0" xfId="20" applyFont="1" applyFill="1" applyBorder="1" applyAlignment="1">
      <alignment horizontal="left" vertical="top"/>
    </xf>
    <xf numFmtId="3" fontId="76" fillId="2" borderId="0" xfId="20" applyNumberFormat="1" applyFont="1" applyFill="1" applyBorder="1" applyAlignment="1">
      <alignment horizontal="right" vertical="top"/>
    </xf>
    <xf numFmtId="0" fontId="63" fillId="0" borderId="0" xfId="20" applyFont="1" applyBorder="1" applyAlignment="1">
      <alignment vertical="top" wrapText="1"/>
    </xf>
    <xf numFmtId="0" fontId="93" fillId="0" borderId="0" xfId="20" applyFont="1" applyBorder="1" applyAlignment="1">
      <alignment horizontal="center"/>
    </xf>
    <xf numFmtId="0" fontId="66" fillId="0" borderId="0" xfId="20" applyFont="1" applyBorder="1" applyAlignment="1">
      <alignment vertical="top" wrapText="1"/>
    </xf>
    <xf numFmtId="0" fontId="65" fillId="0" borderId="0" xfId="20" applyFont="1" applyBorder="1"/>
    <xf numFmtId="0" fontId="91" fillId="0" borderId="0" xfId="20" applyFont="1" applyBorder="1" applyAlignment="1">
      <alignment horizontal="center"/>
    </xf>
    <xf numFmtId="43" fontId="65" fillId="0" borderId="0" xfId="156" applyFont="1" applyFill="1" applyBorder="1" applyAlignment="1">
      <alignment horizontal="right"/>
    </xf>
    <xf numFmtId="43" fontId="66" fillId="0" borderId="0" xfId="20" applyNumberFormat="1" applyFont="1" applyBorder="1" applyAlignment="1">
      <alignment vertical="top" wrapText="1"/>
    </xf>
    <xf numFmtId="0" fontId="64" fillId="0" borderId="37" xfId="20" applyFont="1" applyFill="1" applyBorder="1" applyAlignment="1">
      <alignment horizontal="center"/>
    </xf>
    <xf numFmtId="0" fontId="92" fillId="0" borderId="0" xfId="20" applyFont="1" applyFill="1" applyBorder="1" applyAlignment="1">
      <alignment horizontal="left" vertical="center" wrapText="1"/>
    </xf>
    <xf numFmtId="0" fontId="64" fillId="0" borderId="0" xfId="20" applyNumberFormat="1" applyFont="1" applyFill="1" applyBorder="1" applyAlignment="1">
      <alignment horizontal="center" vertical="center" wrapText="1"/>
    </xf>
    <xf numFmtId="0" fontId="64" fillId="0" borderId="0" xfId="20" applyFont="1" applyFill="1" applyBorder="1" applyAlignment="1">
      <alignment horizontal="left" vertical="center" wrapText="1"/>
    </xf>
    <xf numFmtId="0" fontId="64" fillId="0" borderId="0" xfId="20" applyFont="1" applyFill="1" applyBorder="1" applyAlignment="1">
      <alignment horizontal="center" vertical="top" wrapText="1"/>
    </xf>
    <xf numFmtId="0" fontId="64" fillId="0" borderId="0" xfId="20" applyFont="1" applyFill="1" applyBorder="1" applyAlignment="1">
      <alignment horizontal="left" vertical="top" wrapText="1"/>
    </xf>
    <xf numFmtId="0" fontId="64" fillId="0" borderId="0" xfId="20" applyFont="1" applyFill="1" applyBorder="1" applyAlignment="1">
      <alignment horizontal="left" vertical="top"/>
    </xf>
    <xf numFmtId="3" fontId="64" fillId="0" borderId="0" xfId="20" applyNumberFormat="1" applyFont="1" applyFill="1" applyBorder="1" applyAlignment="1">
      <alignment horizontal="center" vertical="top"/>
    </xf>
    <xf numFmtId="0" fontId="65" fillId="0" borderId="0" xfId="20" applyFont="1" applyFill="1" applyBorder="1" applyAlignment="1">
      <alignment horizontal="center" vertical="top"/>
    </xf>
    <xf numFmtId="0" fontId="64" fillId="0" borderId="0" xfId="20" applyFont="1" applyFill="1" applyBorder="1" applyAlignment="1">
      <alignment horizontal="center" vertical="top"/>
    </xf>
    <xf numFmtId="0" fontId="64" fillId="0" borderId="0" xfId="20" applyFont="1" applyFill="1" applyBorder="1" applyAlignment="1">
      <alignment vertical="top" wrapText="1"/>
    </xf>
    <xf numFmtId="0" fontId="73" fillId="0" borderId="37" xfId="0" applyFont="1" applyBorder="1" applyAlignment="1">
      <alignment horizontal="center" vertical="center"/>
    </xf>
    <xf numFmtId="0" fontId="73" fillId="0" borderId="0" xfId="0" applyFont="1" applyBorder="1" applyAlignment="1">
      <alignment horizontal="center" vertical="center"/>
    </xf>
    <xf numFmtId="0" fontId="73" fillId="0" borderId="19" xfId="0" applyFont="1" applyBorder="1" applyAlignment="1">
      <alignment horizontal="center" vertical="center"/>
    </xf>
    <xf numFmtId="0" fontId="62" fillId="0" borderId="51" xfId="0" applyFont="1" applyBorder="1" applyAlignment="1">
      <alignment horizontal="center"/>
    </xf>
    <xf numFmtId="0" fontId="62" fillId="0" borderId="1" xfId="0" applyFont="1" applyBorder="1" applyAlignment="1">
      <alignment horizontal="center"/>
    </xf>
    <xf numFmtId="0" fontId="61" fillId="0" borderId="26" xfId="0" applyFont="1" applyBorder="1" applyAlignment="1">
      <alignment horizontal="center"/>
    </xf>
    <xf numFmtId="0" fontId="61" fillId="0" borderId="6" xfId="0" applyFont="1" applyBorder="1" applyAlignment="1">
      <alignment horizontal="center"/>
    </xf>
    <xf numFmtId="0" fontId="61" fillId="0" borderId="51" xfId="0" applyFont="1" applyBorder="1" applyAlignment="1">
      <alignment horizontal="center"/>
    </xf>
    <xf numFmtId="0" fontId="61" fillId="0" borderId="1" xfId="0" applyFont="1" applyBorder="1" applyAlignment="1">
      <alignment horizontal="center"/>
    </xf>
    <xf numFmtId="0" fontId="70" fillId="0" borderId="48" xfId="0" applyFont="1" applyFill="1" applyBorder="1" applyAlignment="1">
      <alignment horizontal="center" vertical="center"/>
    </xf>
    <xf numFmtId="0" fontId="70" fillId="0" borderId="41" xfId="0" applyFont="1" applyFill="1" applyBorder="1" applyAlignment="1">
      <alignment horizontal="center" vertical="center"/>
    </xf>
    <xf numFmtId="0" fontId="70" fillId="0" borderId="48" xfId="0" applyFont="1" applyFill="1" applyBorder="1" applyAlignment="1">
      <alignment horizontal="center"/>
    </xf>
    <xf numFmtId="0" fontId="70" fillId="0" borderId="41" xfId="0" applyFont="1" applyFill="1" applyBorder="1" applyAlignment="1">
      <alignment horizontal="center"/>
    </xf>
    <xf numFmtId="0" fontId="75" fillId="0" borderId="0" xfId="0" applyFont="1" applyBorder="1" applyAlignment="1">
      <alignment horizontal="center" vertical="center"/>
    </xf>
    <xf numFmtId="0" fontId="75" fillId="0" borderId="19" xfId="0" applyFont="1" applyBorder="1" applyAlignment="1">
      <alignment horizontal="center" vertical="center"/>
    </xf>
    <xf numFmtId="0" fontId="70" fillId="0" borderId="32" xfId="0" applyFont="1" applyBorder="1" applyAlignment="1">
      <alignment horizontal="left" vertical="center" wrapText="1"/>
    </xf>
    <xf numFmtId="0" fontId="70" fillId="0" borderId="15" xfId="0" applyFont="1" applyBorder="1" applyAlignment="1">
      <alignment horizontal="left" vertical="center" wrapText="1"/>
    </xf>
    <xf numFmtId="0" fontId="70" fillId="0" borderId="25" xfId="0" applyFont="1" applyBorder="1" applyAlignment="1">
      <alignment horizontal="center" vertical="top" wrapText="1"/>
    </xf>
    <xf numFmtId="0" fontId="70" fillId="0" borderId="11" xfId="0" applyFont="1" applyBorder="1" applyAlignment="1">
      <alignment horizontal="center" vertical="top" wrapText="1"/>
    </xf>
    <xf numFmtId="170" fontId="76" fillId="0" borderId="7" xfId="0" applyNumberFormat="1" applyFont="1" applyBorder="1" applyAlignment="1">
      <alignment horizontal="left" wrapText="1"/>
    </xf>
    <xf numFmtId="170" fontId="76" fillId="0" borderId="51" xfId="0" applyNumberFormat="1" applyFont="1" applyBorder="1" applyAlignment="1">
      <alignment horizontal="center" wrapText="1"/>
    </xf>
    <xf numFmtId="170" fontId="76" fillId="0" borderId="1" xfId="0" applyNumberFormat="1" applyFont="1" applyBorder="1" applyAlignment="1">
      <alignment horizontal="center" wrapText="1"/>
    </xf>
    <xf numFmtId="170" fontId="70" fillId="0" borderId="44" xfId="0" applyNumberFormat="1" applyFont="1" applyFill="1" applyBorder="1" applyAlignment="1">
      <alignment horizontal="left" wrapText="1"/>
    </xf>
    <xf numFmtId="170" fontId="76" fillId="0" borderId="51" xfId="0" applyNumberFormat="1" applyFont="1" applyBorder="1" applyAlignment="1">
      <alignment horizontal="left" wrapText="1"/>
    </xf>
    <xf numFmtId="170" fontId="76" fillId="0" borderId="1" xfId="0" applyNumberFormat="1" applyFont="1" applyBorder="1" applyAlignment="1">
      <alignment horizontal="left" wrapText="1"/>
    </xf>
    <xf numFmtId="0" fontId="75" fillId="0" borderId="37" xfId="0" applyFont="1" applyBorder="1" applyAlignment="1">
      <alignment horizontal="center" vertical="center"/>
    </xf>
    <xf numFmtId="0" fontId="63" fillId="0" borderId="37" xfId="0" applyNumberFormat="1" applyFont="1" applyBorder="1" applyAlignment="1">
      <alignment horizontal="center" vertical="top" wrapText="1"/>
    </xf>
    <xf numFmtId="0" fontId="63" fillId="0" borderId="0" xfId="0" applyNumberFormat="1" applyFont="1" applyBorder="1" applyAlignment="1">
      <alignment horizontal="center" vertical="top" wrapText="1"/>
    </xf>
    <xf numFmtId="0" fontId="63" fillId="0" borderId="19" xfId="0" applyNumberFormat="1" applyFont="1" applyBorder="1" applyAlignment="1">
      <alignment horizontal="center" vertical="top" wrapText="1"/>
    </xf>
    <xf numFmtId="0" fontId="70" fillId="0" borderId="0" xfId="18" applyFont="1" applyFill="1" applyBorder="1" applyAlignment="1">
      <alignment horizontal="center" vertical="center" wrapText="1"/>
    </xf>
    <xf numFmtId="0" fontId="70" fillId="0" borderId="1" xfId="18" applyFont="1" applyFill="1" applyBorder="1" applyAlignment="1">
      <alignment horizontal="center" vertical="center" wrapText="1"/>
    </xf>
    <xf numFmtId="0" fontId="70" fillId="2" borderId="0" xfId="0" applyFont="1" applyFill="1" applyBorder="1" applyAlignment="1">
      <alignment horizontal="center" vertical="top" wrapText="1"/>
    </xf>
    <xf numFmtId="0" fontId="57" fillId="2" borderId="37" xfId="0" applyNumberFormat="1" applyFont="1" applyFill="1" applyBorder="1" applyAlignment="1">
      <alignment horizontal="center" vertical="top" wrapText="1"/>
    </xf>
    <xf numFmtId="0" fontId="57" fillId="2" borderId="0" xfId="0" applyNumberFormat="1" applyFont="1" applyFill="1" applyBorder="1" applyAlignment="1">
      <alignment horizontal="center" vertical="top" wrapText="1"/>
    </xf>
    <xf numFmtId="0" fontId="57" fillId="2" borderId="19" xfId="0" applyNumberFormat="1" applyFont="1" applyFill="1" applyBorder="1" applyAlignment="1">
      <alignment horizontal="center" vertical="top" wrapText="1"/>
    </xf>
    <xf numFmtId="0" fontId="22" fillId="0" borderId="0" xfId="0" applyNumberFormat="1" applyFont="1" applyBorder="1" applyAlignment="1">
      <alignment horizontal="center" vertical="top" wrapText="1"/>
    </xf>
    <xf numFmtId="0" fontId="18" fillId="0" borderId="5" xfId="0" applyFont="1" applyBorder="1" applyAlignment="1">
      <alignment horizontal="center" vertical="top"/>
    </xf>
    <xf numFmtId="0" fontId="18" fillId="0" borderId="0" xfId="0" applyFont="1" applyBorder="1" applyAlignment="1">
      <alignment horizontal="center" vertical="top"/>
    </xf>
    <xf numFmtId="0" fontId="17" fillId="0" borderId="0" xfId="0" applyFont="1" applyBorder="1" applyAlignment="1">
      <alignment horizontal="center" vertical="center"/>
    </xf>
    <xf numFmtId="0" fontId="22" fillId="0" borderId="37" xfId="0" applyNumberFormat="1" applyFont="1" applyBorder="1" applyAlignment="1">
      <alignment horizontal="center" vertical="top" wrapText="1"/>
    </xf>
    <xf numFmtId="0" fontId="22" fillId="0" borderId="19" xfId="0" applyNumberFormat="1" applyFont="1" applyBorder="1" applyAlignment="1">
      <alignment horizontal="center" vertical="top" wrapText="1"/>
    </xf>
    <xf numFmtId="0" fontId="22" fillId="0" borderId="0" xfId="0" applyFont="1" applyFill="1" applyBorder="1" applyAlignment="1">
      <alignment horizontal="center" vertical="center" wrapText="1"/>
    </xf>
    <xf numFmtId="0" fontId="18" fillId="0" borderId="10" xfId="0" applyNumberFormat="1" applyFont="1" applyBorder="1" applyAlignment="1">
      <alignment horizontal="center" vertical="center" wrapText="1"/>
    </xf>
    <xf numFmtId="0" fontId="18" fillId="0" borderId="7" xfId="0" applyNumberFormat="1" applyFont="1" applyBorder="1" applyAlignment="1">
      <alignment horizontal="left" vertical="top" wrapText="1"/>
    </xf>
    <xf numFmtId="0" fontId="17" fillId="0" borderId="7" xfId="0" applyNumberFormat="1" applyFont="1" applyBorder="1" applyAlignment="1">
      <alignment horizontal="left" vertical="top" wrapText="1"/>
    </xf>
    <xf numFmtId="0" fontId="22" fillId="0" borderId="3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18" fillId="0" borderId="37" xfId="21" applyFont="1" applyBorder="1" applyAlignment="1">
      <alignment horizontal="center" vertical="center" wrapText="1"/>
    </xf>
    <xf numFmtId="0" fontId="18" fillId="0" borderId="0" xfId="21" applyFont="1" applyBorder="1" applyAlignment="1">
      <alignment horizontal="center" vertical="center" wrapText="1"/>
    </xf>
    <xf numFmtId="0" fontId="18" fillId="0" borderId="1" xfId="21" applyFont="1" applyBorder="1" applyAlignment="1">
      <alignment horizontal="center" vertical="center" wrapText="1"/>
    </xf>
    <xf numFmtId="0" fontId="70" fillId="0" borderId="0" xfId="135" applyFont="1" applyBorder="1" applyAlignment="1">
      <alignment horizontal="left" vertical="center" wrapText="1"/>
    </xf>
    <xf numFmtId="0" fontId="70" fillId="0" borderId="1" xfId="135" applyFont="1" applyBorder="1" applyAlignment="1">
      <alignment horizontal="left" vertical="center" wrapText="1"/>
    </xf>
    <xf numFmtId="0" fontId="70" fillId="0" borderId="67" xfId="76" applyFont="1" applyFill="1" applyBorder="1" applyAlignment="1">
      <alignment horizontal="left" wrapText="1" indent="4"/>
    </xf>
    <xf numFmtId="0" fontId="70" fillId="0" borderId="68" xfId="76" applyFont="1" applyFill="1" applyBorder="1"/>
    <xf numFmtId="0" fontId="70" fillId="0" borderId="73" xfId="76" applyFont="1" applyFill="1" applyBorder="1"/>
    <xf numFmtId="0" fontId="70" fillId="0" borderId="67" xfId="76" applyFont="1" applyBorder="1" applyAlignment="1">
      <alignment horizontal="left" wrapText="1" indent="4"/>
    </xf>
    <xf numFmtId="0" fontId="70" fillId="0" borderId="68" xfId="76" applyFont="1" applyBorder="1"/>
    <xf numFmtId="0" fontId="70" fillId="0" borderId="73" xfId="76" applyFont="1" applyBorder="1"/>
    <xf numFmtId="0" fontId="57" fillId="0" borderId="0" xfId="82" applyFont="1" applyFill="1" applyBorder="1" applyAlignment="1" applyProtection="1">
      <alignment horizontal="center" vertical="center" wrapText="1"/>
    </xf>
    <xf numFmtId="0" fontId="63" fillId="0" borderId="49" xfId="82" applyFont="1" applyFill="1" applyBorder="1" applyAlignment="1" applyProtection="1">
      <alignment horizontal="center" vertical="center" wrapText="1"/>
    </xf>
    <xf numFmtId="0" fontId="63" fillId="0" borderId="38" xfId="82" applyFont="1" applyFill="1" applyBorder="1" applyAlignment="1" applyProtection="1">
      <alignment horizontal="center" vertical="center" wrapText="1"/>
    </xf>
    <xf numFmtId="0" fontId="63" fillId="0" borderId="0" xfId="82" applyFont="1" applyFill="1" applyBorder="1" applyAlignment="1" applyProtection="1">
      <alignment horizontal="center" vertical="center" wrapText="1"/>
    </xf>
    <xf numFmtId="0" fontId="63" fillId="0" borderId="39" xfId="82" applyFont="1" applyFill="1" applyBorder="1" applyAlignment="1" applyProtection="1">
      <alignment horizontal="center" vertical="center" wrapText="1"/>
    </xf>
    <xf numFmtId="0" fontId="70" fillId="0" borderId="96" xfId="20" applyNumberFormat="1" applyFont="1" applyFill="1" applyBorder="1" applyAlignment="1">
      <alignment horizontal="center" vertical="top" wrapText="1"/>
    </xf>
    <xf numFmtId="0" fontId="70" fillId="0" borderId="4" xfId="20" applyNumberFormat="1" applyFont="1" applyFill="1" applyBorder="1" applyAlignment="1">
      <alignment horizontal="center" vertical="top" wrapText="1"/>
    </xf>
    <xf numFmtId="0" fontId="70" fillId="0" borderId="97" xfId="20" applyNumberFormat="1" applyFont="1" applyFill="1" applyBorder="1" applyAlignment="1">
      <alignment horizontal="center" vertical="top" wrapText="1"/>
    </xf>
    <xf numFmtId="0" fontId="70" fillId="2" borderId="0" xfId="20" applyFont="1" applyFill="1" applyBorder="1" applyAlignment="1">
      <alignment horizontal="center" vertical="top" wrapText="1"/>
    </xf>
    <xf numFmtId="0" fontId="65" fillId="0" borderId="0" xfId="20" applyFont="1" applyFill="1" applyBorder="1" applyAlignment="1">
      <alignment horizontal="left" vertical="center" wrapText="1"/>
    </xf>
    <xf numFmtId="0" fontId="70" fillId="0" borderId="37" xfId="0" applyFont="1" applyBorder="1" applyAlignment="1">
      <alignment horizontal="center" vertical="center" wrapText="1"/>
    </xf>
    <xf numFmtId="0" fontId="70" fillId="0" borderId="0" xfId="0" applyFont="1" applyBorder="1" applyAlignment="1">
      <alignment horizontal="center" vertical="center" wrapText="1"/>
    </xf>
    <xf numFmtId="4" fontId="63" fillId="0" borderId="37" xfId="93" applyNumberFormat="1" applyFont="1" applyBorder="1" applyAlignment="1">
      <alignment horizontal="center" wrapText="1"/>
    </xf>
    <xf numFmtId="4" fontId="63" fillId="0" borderId="0" xfId="93" applyNumberFormat="1" applyFont="1" applyBorder="1" applyAlignment="1">
      <alignment horizontal="center" wrapText="1"/>
    </xf>
    <xf numFmtId="4" fontId="63" fillId="0" borderId="19" xfId="93" applyNumberFormat="1" applyFont="1" applyBorder="1" applyAlignment="1">
      <alignment horizontal="center" wrapText="1"/>
    </xf>
  </cellXfs>
  <cellStyles count="158">
    <cellStyle name="Comma" xfId="1" builtinId="3"/>
    <cellStyle name="Comma 17" xfId="31"/>
    <cellStyle name="Comma 19" xfId="92"/>
    <cellStyle name="Comma 2" xfId="2"/>
    <cellStyle name="Comma 2 12" xfId="99"/>
    <cellStyle name="Comma 2 12 2" xfId="116"/>
    <cellStyle name="Comma 2 12 3" xfId="128"/>
    <cellStyle name="Comma 2 2" xfId="36"/>
    <cellStyle name="Comma 2 2 2" xfId="17"/>
    <cellStyle name="Comma 2 2 2 2" xfId="46"/>
    <cellStyle name="Comma 2 2 2 3" xfId="139"/>
    <cellStyle name="Comma 2 2 3" xfId="65"/>
    <cellStyle name="Comma 2 2 4" xfId="115"/>
    <cellStyle name="Comma 2 2 4 2" xfId="130"/>
    <cellStyle name="Comma 2 2 5" xfId="127"/>
    <cellStyle name="Comma 2 3" xfId="41"/>
    <cellStyle name="Comma 2 3 2" xfId="68"/>
    <cellStyle name="Comma 2 3 3" xfId="101"/>
    <cellStyle name="Comma 2 4" xfId="58"/>
    <cellStyle name="Comma 2 4 2" xfId="111"/>
    <cellStyle name="Comma 2 4 2 2" xfId="120"/>
    <cellStyle name="Comma 2 4 2 3" xfId="129"/>
    <cellStyle name="Comma 2 4 2 3 2" xfId="156"/>
    <cellStyle name="Comma 2 5" xfId="147"/>
    <cellStyle name="Comma 2_Eldoret BoQs" xfId="50"/>
    <cellStyle name="Comma 20" xfId="97"/>
    <cellStyle name="Comma 24" xfId="134"/>
    <cellStyle name="Comma 24 2" xfId="140"/>
    <cellStyle name="Comma 26 2" xfId="12"/>
    <cellStyle name="Comma 26 2 2" xfId="45"/>
    <cellStyle name="Comma 28 2" xfId="3"/>
    <cellStyle name="Comma 28 2 2" xfId="42"/>
    <cellStyle name="Comma 28 2 3" xfId="59"/>
    <cellStyle name="Comma 3" xfId="34"/>
    <cellStyle name="Comma 3 2" xfId="89"/>
    <cellStyle name="Comma 3 2 2" xfId="113"/>
    <cellStyle name="Comma 3 2 2 2" xfId="122"/>
    <cellStyle name="Comma 3 2 3" xfId="105"/>
    <cellStyle name="Comma 3 2 3 2" xfId="119"/>
    <cellStyle name="Comma 3 2 3 2 2" xfId="133"/>
    <cellStyle name="Comma 3 3" xfId="145"/>
    <cellStyle name="Comma 32" xfId="146"/>
    <cellStyle name="Comma 33" xfId="14"/>
    <cellStyle name="Comma 33 2" xfId="40"/>
    <cellStyle name="Comma 4" xfId="22"/>
    <cellStyle name="Comma 4 10" xfId="141"/>
    <cellStyle name="Comma 4 2" xfId="39"/>
    <cellStyle name="Comma 4 2 2" xfId="125"/>
    <cellStyle name="Comma 4 5" xfId="109"/>
    <cellStyle name="Comma 42" xfId="150"/>
    <cellStyle name="Comma 5" xfId="47"/>
    <cellStyle name="Comma 5 2" xfId="70"/>
    <cellStyle name="Comma 5 2 2" xfId="19"/>
    <cellStyle name="Comma 5 4" xfId="108"/>
    <cellStyle name="Comma 7" xfId="154"/>
    <cellStyle name="Comma 7 2" xfId="33"/>
    <cellStyle name="Comma 9" xfId="107"/>
    <cellStyle name="Comma_BOQ 13 (SITE WORKS)-bungoma" xfId="78"/>
    <cellStyle name="Comma_Contract 4 BoQ REV 0 " xfId="4"/>
    <cellStyle name="Comma_Contract 4 BoQ REV 0  2" xfId="87"/>
    <cellStyle name="Comma_Contract 4 BoQ REV 0  3" xfId="88"/>
    <cellStyle name="Comma_Kitchen" xfId="56"/>
    <cellStyle name="Normal" xfId="0" builtinId="0"/>
    <cellStyle name="Normal 10" xfId="16"/>
    <cellStyle name="Normal 10 2" xfId="20"/>
    <cellStyle name="Normal 10 2 3" xfId="76"/>
    <cellStyle name="Normal 11 2" xfId="11"/>
    <cellStyle name="Normal 12 2" xfId="75"/>
    <cellStyle name="Normal 13" xfId="5"/>
    <cellStyle name="Normal 13 2" xfId="26"/>
    <cellStyle name="Normal 14" xfId="6"/>
    <cellStyle name="Normal 14 2" xfId="43"/>
    <cellStyle name="Normal 17" xfId="79"/>
    <cellStyle name="Normal 18" xfId="95"/>
    <cellStyle name="Normal 19" xfId="91"/>
    <cellStyle name="Normal 2" xfId="7"/>
    <cellStyle name="Normal 2 14" xfId="10"/>
    <cellStyle name="Normal 2 2" xfId="8"/>
    <cellStyle name="Normal 2 2 2" xfId="51"/>
    <cellStyle name="Normal 2 3" xfId="13"/>
    <cellStyle name="Normal 2 3 2" xfId="55"/>
    <cellStyle name="Normal 2 3 3" xfId="18"/>
    <cellStyle name="Normal 2 4" xfId="35"/>
    <cellStyle name="Normal 2 4 2" xfId="64"/>
    <cellStyle name="Normal 2 4 3" xfId="100"/>
    <cellStyle name="Normal 2 5" xfId="29"/>
    <cellStyle name="Normal 2 5 2" xfId="90"/>
    <cellStyle name="Normal 2 5 2 2" xfId="104"/>
    <cellStyle name="Normal 2 5 2 2 2" xfId="118"/>
    <cellStyle name="Normal 2 5 2 2 2 2" xfId="132"/>
    <cellStyle name="Normal 2 5 2 3" xfId="114"/>
    <cellStyle name="Normal 2 5 2 3 2" xfId="123"/>
    <cellStyle name="Normal 2 6" xfId="44"/>
    <cellStyle name="Normal 2 6 2" xfId="69"/>
    <cellStyle name="Normal 2 7" xfId="60"/>
    <cellStyle name="Normal 2 7 2" xfId="112"/>
    <cellStyle name="Normal 2 7 2 2" xfId="121"/>
    <cellStyle name="Normal 2 8" xfId="86"/>
    <cellStyle name="Normal 2 9" xfId="153"/>
    <cellStyle name="Normal 20" xfId="96"/>
    <cellStyle name="Normal 26" xfId="152"/>
    <cellStyle name="Normal 28 3 2" xfId="25"/>
    <cellStyle name="Normal 28 3 2 2" xfId="28"/>
    <cellStyle name="Normal 28 3 2 2 2" xfId="49"/>
    <cellStyle name="Normal 28 3 2 2 2 2" xfId="72"/>
    <cellStyle name="Normal 28 3 2 2 3" xfId="62"/>
    <cellStyle name="Normal 28 3 2 3" xfId="37"/>
    <cellStyle name="Normal 28 3 2 3 2" xfId="66"/>
    <cellStyle name="Normal 28 3 2 4" xfId="48"/>
    <cellStyle name="Normal 28 3 2 4 2" xfId="71"/>
    <cellStyle name="Normal 28 3 2 5" xfId="61"/>
    <cellStyle name="Normal 28 4 2 2 2" xfId="138"/>
    <cellStyle name="Normal 3" xfId="53"/>
    <cellStyle name="Normal 3 2" xfId="102"/>
    <cellStyle name="Normal 3 3" xfId="149"/>
    <cellStyle name="Normal 38" xfId="27"/>
    <cellStyle name="Normal 4" xfId="21"/>
    <cellStyle name="Normal 4 10 2" xfId="80"/>
    <cellStyle name="Normal 4 2" xfId="126"/>
    <cellStyle name="Normal 4 2 2" xfId="144"/>
    <cellStyle name="Normal 4 3" xfId="103"/>
    <cellStyle name="Normal 4 4" xfId="143"/>
    <cellStyle name="Normal 5" xfId="106"/>
    <cellStyle name="Normal 5 2" xfId="81"/>
    <cellStyle name="Normal 5 2 2" xfId="117"/>
    <cellStyle name="Normal 5 2 2 2" xfId="131"/>
    <cellStyle name="Normal 5 3" xfId="24"/>
    <cellStyle name="Normal 5 4" xfId="98"/>
    <cellStyle name="Normal 6" xfId="15"/>
    <cellStyle name="Normal 6 10" xfId="137"/>
    <cellStyle name="Normal 6 2" xfId="54"/>
    <cellStyle name="Normal 6 3" xfId="32"/>
    <cellStyle name="Normal 6 3 2" xfId="38"/>
    <cellStyle name="Normal 6 3 2 2" xfId="67"/>
    <cellStyle name="Normal 6 3 3" xfId="63"/>
    <cellStyle name="Normal 6 3 3 2 2 2" xfId="142"/>
    <cellStyle name="Normal 6 4" xfId="148"/>
    <cellStyle name="Normal 7" xfId="30"/>
    <cellStyle name="Normal 8" xfId="124"/>
    <cellStyle name="Normal 9" xfId="155"/>
    <cellStyle name="Normal_Bill No K12 - Kitale" xfId="84"/>
    <cellStyle name="Normal_bill14" xfId="94"/>
    <cellStyle name="Normal_BOQ 13 (SITE WORKS)-bungoma" xfId="77"/>
    <cellStyle name="Normal_BOQ 17 (MISCELLANEOUS)_LINE NMW 15 BOQs" xfId="135"/>
    <cellStyle name="Normal_BUNGOMA BQ 2" xfId="83"/>
    <cellStyle name="Normal_BUNGOMA BQ 2_Xl0000026" xfId="93"/>
    <cellStyle name="Normal_Collection Sheet " xfId="136"/>
    <cellStyle name="Normal_Eldoret BoQs" xfId="74"/>
    <cellStyle name="Normal_KITALE - BOQ" xfId="73"/>
    <cellStyle name="Normal_Kitchen" xfId="57"/>
    <cellStyle name="Normal_Xl0000031" xfId="82"/>
    <cellStyle name="Percent" xfId="9" builtinId="5"/>
    <cellStyle name="Percent 2" xfId="52"/>
    <cellStyle name="Percent 2 2 2" xfId="110"/>
    <cellStyle name="Percent 3" xfId="85"/>
    <cellStyle name="Percent 4" xfId="151"/>
    <cellStyle name="Percent 5" xfId="157"/>
    <cellStyle name="Standard 2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0</xdr:col>
      <xdr:colOff>60613</xdr:colOff>
      <xdr:row>47</xdr:row>
      <xdr:rowOff>64944</xdr:rowOff>
    </xdr:from>
    <xdr:to>
      <xdr:col>1</xdr:col>
      <xdr:colOff>3810000</xdr:colOff>
      <xdr:row>50</xdr:row>
      <xdr:rowOff>59872</xdr:rowOff>
    </xdr:to>
    <xdr:sp macro="" textlink="">
      <xdr:nvSpPr>
        <xdr:cNvPr id="2" name="TextBox 23">
          <a:extLst>
            <a:ext uri="{FF2B5EF4-FFF2-40B4-BE49-F238E27FC236}">
              <a16:creationId xmlns:a16="http://schemas.microsoft.com/office/drawing/2014/main" id="{00000000-0008-0000-0000-000002000000}"/>
            </a:ext>
          </a:extLst>
        </xdr:cNvPr>
        <xdr:cNvSpPr txBox="1">
          <a:spLocks noChangeArrowheads="1"/>
        </xdr:cNvSpPr>
      </xdr:nvSpPr>
      <xdr:spPr bwMode="auto">
        <a:xfrm>
          <a:off x="60613" y="7944024"/>
          <a:ext cx="1189067" cy="497848"/>
        </a:xfrm>
        <a:prstGeom prst="rect">
          <a:avLst/>
        </a:prstGeom>
        <a:noFill/>
        <a:ln>
          <a:noFill/>
        </a:ln>
      </xdr:spPr>
      <xdr:txBody>
        <a:bodyPr wrap="square">
          <a:noAutofit/>
        </a:bodyPr>
        <a:lstStyle/>
        <a:p>
          <a:pPr marL="0" marR="0" algn="ctr" fontAlgn="base">
            <a:spcBef>
              <a:spcPts val="0"/>
            </a:spcBef>
            <a:spcAft>
              <a:spcPts val="0"/>
            </a:spcAft>
          </a:pPr>
          <a:endParaRPr lang="en-US" sz="13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1791565</xdr:colOff>
      <xdr:row>38</xdr:row>
      <xdr:rowOff>122093</xdr:rowOff>
    </xdr:from>
    <xdr:to>
      <xdr:col>2</xdr:col>
      <xdr:colOff>581891</xdr:colOff>
      <xdr:row>43</xdr:row>
      <xdr:rowOff>92941</xdr:rowOff>
    </xdr:to>
    <xdr:sp macro="" textlink="">
      <xdr:nvSpPr>
        <xdr:cNvPr id="3" name="TextBox 23">
          <a:extLst>
            <a:ext uri="{FF2B5EF4-FFF2-40B4-BE49-F238E27FC236}">
              <a16:creationId xmlns:a16="http://schemas.microsoft.com/office/drawing/2014/main" id="{00000000-0008-0000-0000-000003000000}"/>
            </a:ext>
          </a:extLst>
        </xdr:cNvPr>
        <xdr:cNvSpPr txBox="1">
          <a:spLocks noChangeArrowheads="1"/>
        </xdr:cNvSpPr>
      </xdr:nvSpPr>
      <xdr:spPr bwMode="auto">
        <a:xfrm>
          <a:off x="1250545" y="6492413"/>
          <a:ext cx="581026" cy="809048"/>
        </a:xfrm>
        <a:prstGeom prst="rect">
          <a:avLst/>
        </a:prstGeom>
        <a:noFill/>
        <a:ln>
          <a:noFill/>
        </a:ln>
      </xdr:spPr>
      <xdr:txBody>
        <a:bodyPr wrap="square">
          <a:noAutofit/>
        </a:bodyPr>
        <a:lstStyle/>
        <a:p>
          <a:pPr marL="0" marR="0" algn="l">
            <a:spcBef>
              <a:spcPts val="0"/>
            </a:spcBef>
            <a:spcAft>
              <a:spcPts val="0"/>
            </a:spcAft>
          </a:pPr>
          <a:endParaRPr lang="en-US" sz="14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200025</xdr:colOff>
      <xdr:row>0</xdr:row>
      <xdr:rowOff>152400</xdr:rowOff>
    </xdr:from>
    <xdr:to>
      <xdr:col>3</xdr:col>
      <xdr:colOff>3569</xdr:colOff>
      <xdr:row>49</xdr:row>
      <xdr:rowOff>144780</xdr:rowOff>
    </xdr:to>
    <xdr:grpSp>
      <xdr:nvGrpSpPr>
        <xdr:cNvPr id="4" name="Group 4">
          <a:extLst>
            <a:ext uri="{FF2B5EF4-FFF2-40B4-BE49-F238E27FC236}">
              <a16:creationId xmlns:a16="http://schemas.microsoft.com/office/drawing/2014/main" id="{00000000-0008-0000-0000-000004000000}"/>
            </a:ext>
          </a:extLst>
        </xdr:cNvPr>
        <xdr:cNvGrpSpPr>
          <a:grpSpLocks noChangeAspect="1"/>
        </xdr:cNvGrpSpPr>
      </xdr:nvGrpSpPr>
      <xdr:grpSpPr bwMode="auto">
        <a:xfrm>
          <a:off x="200025" y="152400"/>
          <a:ext cx="6229744" cy="8679180"/>
          <a:chOff x="21" y="16"/>
          <a:chExt cx="607" cy="870"/>
        </a:xfrm>
      </xdr:grpSpPr>
      <xdr:sp macro="" textlink="">
        <xdr:nvSpPr>
          <xdr:cNvPr id="5" name="AutoShape 3">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21" y="16"/>
            <a:ext cx="602" cy="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45" y="17"/>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624" y="17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308" y="177"/>
            <a:ext cx="6"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900" b="1" i="0" u="none" strike="noStrike" baseline="0">
                <a:solidFill>
                  <a:srgbClr val="000000"/>
                </a:solidFill>
                <a:latin typeface="Times New Roman"/>
                <a:cs typeface="Times New Roman"/>
              </a:rPr>
              <a:t> </a:t>
            </a:r>
          </a:p>
        </xdr:txBody>
      </xdr:sp>
      <xdr:sp macro="" textlink="">
        <xdr:nvSpPr>
          <xdr:cNvPr id="9"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313" y="187"/>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80" y="202"/>
            <a:ext cx="484"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900" b="1" i="0" u="none" strike="noStrike" baseline="0">
                <a:solidFill>
                  <a:srgbClr val="000000"/>
                </a:solidFill>
                <a:latin typeface="Times New Roman"/>
                <a:cs typeface="Times New Roman"/>
              </a:rPr>
              <a:t>P R O C U R E M E N T  D O C U M E N T S</a:t>
            </a:r>
          </a:p>
        </xdr:txBody>
      </xdr:sp>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537" y="190"/>
            <a:ext cx="1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900" b="1" i="0" u="none" strike="noStrike" baseline="0">
                <a:solidFill>
                  <a:srgbClr val="000000"/>
                </a:solidFill>
                <a:latin typeface="Times New Roman"/>
                <a:cs typeface="Times New Roman"/>
              </a:rPr>
              <a:t> </a:t>
            </a:r>
          </a:p>
        </xdr:txBody>
      </xdr:sp>
      <xdr:sp macro="" textlink="">
        <xdr:nvSpPr>
          <xdr:cNvPr id="12" name="Rectangle 11">
            <a:extLst>
              <a:ext uri="{FF2B5EF4-FFF2-40B4-BE49-F238E27FC236}">
                <a16:creationId xmlns:a16="http://schemas.microsoft.com/office/drawing/2014/main" id="{00000000-0008-0000-0000-00000C000000}"/>
              </a:ext>
            </a:extLst>
          </xdr:cNvPr>
          <xdr:cNvSpPr>
            <a:spLocks noChangeArrowheads="1"/>
          </xdr:cNvSpPr>
        </xdr:nvSpPr>
        <xdr:spPr bwMode="auto">
          <a:xfrm>
            <a:off x="547" y="212"/>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13" name="Rectangle 12">
            <a:extLst>
              <a:ext uri="{FF2B5EF4-FFF2-40B4-BE49-F238E27FC236}">
                <a16:creationId xmlns:a16="http://schemas.microsoft.com/office/drawing/2014/main" id="{00000000-0008-0000-0000-00000D000000}"/>
              </a:ext>
            </a:extLst>
          </xdr:cNvPr>
          <xdr:cNvSpPr>
            <a:spLocks noChangeArrowheads="1"/>
          </xdr:cNvSpPr>
        </xdr:nvSpPr>
        <xdr:spPr bwMode="auto">
          <a:xfrm>
            <a:off x="308" y="231"/>
            <a:ext cx="6"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900" b="1" i="0" u="none" strike="noStrike" baseline="0">
                <a:solidFill>
                  <a:srgbClr val="000000"/>
                </a:solidFill>
                <a:latin typeface="Times New Roman"/>
                <a:cs typeface="Times New Roman"/>
              </a:rPr>
              <a:t> </a:t>
            </a:r>
          </a:p>
        </xdr:txBody>
      </xdr:sp>
      <xdr:sp macro="" textlink="">
        <xdr:nvSpPr>
          <xdr:cNvPr id="14" name="Rectangle 13">
            <a:extLst>
              <a:ext uri="{FF2B5EF4-FFF2-40B4-BE49-F238E27FC236}">
                <a16:creationId xmlns:a16="http://schemas.microsoft.com/office/drawing/2014/main" id="{00000000-0008-0000-0000-00000E000000}"/>
              </a:ext>
            </a:extLst>
          </xdr:cNvPr>
          <xdr:cNvSpPr>
            <a:spLocks noChangeArrowheads="1"/>
          </xdr:cNvSpPr>
        </xdr:nvSpPr>
        <xdr:spPr bwMode="auto">
          <a:xfrm>
            <a:off x="228" y="262"/>
            <a:ext cx="12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Volume </a:t>
            </a:r>
          </a:p>
        </xdr:txBody>
      </xdr:sp>
      <xdr:sp macro="" textlink="">
        <xdr:nvSpPr>
          <xdr:cNvPr id="15"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342" y="262"/>
            <a:ext cx="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en-US" sz="2500" b="1" i="0" u="none" strike="noStrike" baseline="0">
              <a:solidFill>
                <a:srgbClr val="000000"/>
              </a:solidFill>
              <a:latin typeface="Times New Roman"/>
              <a:cs typeface="Times New Roman"/>
            </a:endParaRPr>
          </a:p>
        </xdr:txBody>
      </xdr:sp>
      <xdr:sp macro="" textlink="">
        <xdr:nvSpPr>
          <xdr:cNvPr id="16" name="Rectangle 15">
            <a:extLst>
              <a:ext uri="{FF2B5EF4-FFF2-40B4-BE49-F238E27FC236}">
                <a16:creationId xmlns:a16="http://schemas.microsoft.com/office/drawing/2014/main" id="{00000000-0008-0000-0000-000010000000}"/>
              </a:ext>
            </a:extLst>
          </xdr:cNvPr>
          <xdr:cNvSpPr>
            <a:spLocks noChangeArrowheads="1"/>
          </xdr:cNvSpPr>
        </xdr:nvSpPr>
        <xdr:spPr bwMode="auto">
          <a:xfrm>
            <a:off x="353" y="262"/>
            <a:ext cx="36" cy="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IV</a:t>
            </a:r>
          </a:p>
        </xdr:txBody>
      </xdr:sp>
      <xdr:sp macro="" textlink="">
        <xdr:nvSpPr>
          <xdr:cNvPr id="17" name="Rectangle 16">
            <a:extLst>
              <a:ext uri="{FF2B5EF4-FFF2-40B4-BE49-F238E27FC236}">
                <a16:creationId xmlns:a16="http://schemas.microsoft.com/office/drawing/2014/main" id="{00000000-0008-0000-0000-000011000000}"/>
              </a:ext>
            </a:extLst>
          </xdr:cNvPr>
          <xdr:cNvSpPr>
            <a:spLocks noChangeArrowheads="1"/>
          </xdr:cNvSpPr>
        </xdr:nvSpPr>
        <xdr:spPr bwMode="auto">
          <a:xfrm>
            <a:off x="367" y="262"/>
            <a:ext cx="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en-US" sz="2500" b="1" i="0" u="none" strike="noStrike" baseline="0">
              <a:solidFill>
                <a:srgbClr val="000000"/>
              </a:solidFill>
              <a:latin typeface="Times New Roman"/>
              <a:cs typeface="Times New Roman"/>
            </a:endParaRPr>
          </a:p>
        </xdr:txBody>
      </xdr:sp>
      <xdr:sp macro="" textlink="">
        <xdr:nvSpPr>
          <xdr:cNvPr id="18" name="Rectangle 17">
            <a:extLst>
              <a:ext uri="{FF2B5EF4-FFF2-40B4-BE49-F238E27FC236}">
                <a16:creationId xmlns:a16="http://schemas.microsoft.com/office/drawing/2014/main" id="{00000000-0008-0000-0000-000012000000}"/>
              </a:ext>
            </a:extLst>
          </xdr:cNvPr>
          <xdr:cNvSpPr>
            <a:spLocks noChangeArrowheads="1"/>
          </xdr:cNvSpPr>
        </xdr:nvSpPr>
        <xdr:spPr bwMode="auto">
          <a:xfrm>
            <a:off x="378" y="262"/>
            <a:ext cx="34"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  : </a:t>
            </a:r>
          </a:p>
        </xdr:txBody>
      </xdr:sp>
      <xdr:sp macro="" textlink="">
        <xdr:nvSpPr>
          <xdr:cNvPr id="19" name="Rectangle 18">
            <a:extLst>
              <a:ext uri="{FF2B5EF4-FFF2-40B4-BE49-F238E27FC236}">
                <a16:creationId xmlns:a16="http://schemas.microsoft.com/office/drawing/2014/main" id="{00000000-0008-0000-0000-000013000000}"/>
              </a:ext>
            </a:extLst>
          </xdr:cNvPr>
          <xdr:cNvSpPr>
            <a:spLocks noChangeArrowheads="1"/>
          </xdr:cNvSpPr>
        </xdr:nvSpPr>
        <xdr:spPr bwMode="auto">
          <a:xfrm>
            <a:off x="397" y="262"/>
            <a:ext cx="8"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 </a:t>
            </a:r>
          </a:p>
        </xdr:txBody>
      </xdr:sp>
      <xdr:sp macro="" textlink="">
        <xdr:nvSpPr>
          <xdr:cNvPr id="20" name="Rectangle 19">
            <a:extLst>
              <a:ext uri="{FF2B5EF4-FFF2-40B4-BE49-F238E27FC236}">
                <a16:creationId xmlns:a16="http://schemas.microsoft.com/office/drawing/2014/main" id="{00000000-0008-0000-0000-000014000000}"/>
              </a:ext>
            </a:extLst>
          </xdr:cNvPr>
          <xdr:cNvSpPr>
            <a:spLocks noChangeArrowheads="1"/>
          </xdr:cNvSpPr>
        </xdr:nvSpPr>
        <xdr:spPr bwMode="auto">
          <a:xfrm>
            <a:off x="308" y="301"/>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Times New Roman"/>
                <a:cs typeface="Times New Roman"/>
              </a:rPr>
              <a:t> </a:t>
            </a:r>
          </a:p>
        </xdr:txBody>
      </xdr:sp>
      <xdr:sp macro="" textlink="">
        <xdr:nvSpPr>
          <xdr:cNvPr id="22" name="Rectangle 21">
            <a:extLst>
              <a:ext uri="{FF2B5EF4-FFF2-40B4-BE49-F238E27FC236}">
                <a16:creationId xmlns:a16="http://schemas.microsoft.com/office/drawing/2014/main" id="{00000000-0008-0000-0000-000016000000}"/>
              </a:ext>
            </a:extLst>
          </xdr:cNvPr>
          <xdr:cNvSpPr>
            <a:spLocks noChangeArrowheads="1"/>
          </xdr:cNvSpPr>
        </xdr:nvSpPr>
        <xdr:spPr bwMode="auto">
          <a:xfrm>
            <a:off x="155" y="321"/>
            <a:ext cx="346" cy="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BILL OF QUANTITIES</a:t>
            </a:r>
          </a:p>
        </xdr:txBody>
      </xdr:sp>
      <xdr:sp macro="" textlink="">
        <xdr:nvSpPr>
          <xdr:cNvPr id="23" name="Rectangle 22">
            <a:extLst>
              <a:ext uri="{FF2B5EF4-FFF2-40B4-BE49-F238E27FC236}">
                <a16:creationId xmlns:a16="http://schemas.microsoft.com/office/drawing/2014/main" id="{00000000-0008-0000-0000-000017000000}"/>
              </a:ext>
            </a:extLst>
          </xdr:cNvPr>
          <xdr:cNvSpPr>
            <a:spLocks noChangeArrowheads="1"/>
          </xdr:cNvSpPr>
        </xdr:nvSpPr>
        <xdr:spPr bwMode="auto">
          <a:xfrm>
            <a:off x="485" y="321"/>
            <a:ext cx="8"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 </a:t>
            </a:r>
          </a:p>
        </xdr:txBody>
      </xdr:sp>
      <xdr:sp macro="" textlink="">
        <xdr:nvSpPr>
          <xdr:cNvPr id="24" name="Rectangle 23">
            <a:extLst>
              <a:ext uri="{FF2B5EF4-FFF2-40B4-BE49-F238E27FC236}">
                <a16:creationId xmlns:a16="http://schemas.microsoft.com/office/drawing/2014/main" id="{00000000-0008-0000-0000-000018000000}"/>
              </a:ext>
            </a:extLst>
          </xdr:cNvPr>
          <xdr:cNvSpPr>
            <a:spLocks noChangeArrowheads="1"/>
          </xdr:cNvSpPr>
        </xdr:nvSpPr>
        <xdr:spPr bwMode="auto">
          <a:xfrm>
            <a:off x="193" y="362"/>
            <a:ext cx="243"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600" b="1" i="0" u="none" strike="noStrike" baseline="0">
                <a:solidFill>
                  <a:srgbClr val="000000"/>
                </a:solidFill>
                <a:latin typeface="Times New Roman"/>
                <a:cs typeface="Times New Roman"/>
              </a:rPr>
              <a:t>Procurement of </a:t>
            </a:r>
          </a:p>
        </xdr:txBody>
      </xdr:sp>
      <xdr:sp macro="" textlink="">
        <xdr:nvSpPr>
          <xdr:cNvPr id="25" name="Rectangle 24">
            <a:extLst>
              <a:ext uri="{FF2B5EF4-FFF2-40B4-BE49-F238E27FC236}">
                <a16:creationId xmlns:a16="http://schemas.microsoft.com/office/drawing/2014/main" id="{00000000-0008-0000-0000-000019000000}"/>
              </a:ext>
            </a:extLst>
          </xdr:cNvPr>
          <xdr:cNvSpPr>
            <a:spLocks noChangeArrowheads="1"/>
          </xdr:cNvSpPr>
        </xdr:nvSpPr>
        <xdr:spPr bwMode="auto">
          <a:xfrm>
            <a:off x="432" y="381"/>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26" name="Rectangle 25">
            <a:extLst>
              <a:ext uri="{FF2B5EF4-FFF2-40B4-BE49-F238E27FC236}">
                <a16:creationId xmlns:a16="http://schemas.microsoft.com/office/drawing/2014/main" id="{00000000-0008-0000-0000-00001A000000}"/>
              </a:ext>
            </a:extLst>
          </xdr:cNvPr>
          <xdr:cNvSpPr>
            <a:spLocks noChangeArrowheads="1"/>
          </xdr:cNvSpPr>
        </xdr:nvSpPr>
        <xdr:spPr bwMode="auto">
          <a:xfrm>
            <a:off x="621" y="406"/>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27" name="Rectangle 26">
            <a:extLst>
              <a:ext uri="{FF2B5EF4-FFF2-40B4-BE49-F238E27FC236}">
                <a16:creationId xmlns:a16="http://schemas.microsoft.com/office/drawing/2014/main" id="{00000000-0008-0000-0000-00001B000000}"/>
              </a:ext>
            </a:extLst>
          </xdr:cNvPr>
          <xdr:cNvSpPr>
            <a:spLocks noChangeArrowheads="1"/>
          </xdr:cNvSpPr>
        </xdr:nvSpPr>
        <xdr:spPr bwMode="auto">
          <a:xfrm>
            <a:off x="92" y="407"/>
            <a:ext cx="505" cy="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en-US" sz="2300" b="1" i="0" u="none" strike="noStrike" baseline="0">
                <a:solidFill>
                  <a:srgbClr val="000000"/>
                </a:solidFill>
                <a:latin typeface="Times New Roman"/>
                <a:cs typeface="Times New Roman"/>
              </a:rPr>
              <a:t>WATER AND SANITATION </a:t>
            </a:r>
          </a:p>
          <a:p>
            <a:pPr algn="ctr" rtl="0">
              <a:defRPr sz="1000"/>
            </a:pPr>
            <a:r>
              <a:rPr lang="en-US" sz="2300" b="1" i="0" u="none" strike="noStrike" baseline="0">
                <a:solidFill>
                  <a:srgbClr val="000000"/>
                </a:solidFill>
                <a:latin typeface="Times New Roman"/>
                <a:cs typeface="Times New Roman"/>
              </a:rPr>
              <a:t>DEVELOPMENT PROJECT</a:t>
            </a:r>
          </a:p>
        </xdr:txBody>
      </xdr:sp>
      <xdr:sp macro="" textlink="">
        <xdr:nvSpPr>
          <xdr:cNvPr id="28" name="Rectangle 27">
            <a:extLst>
              <a:ext uri="{FF2B5EF4-FFF2-40B4-BE49-F238E27FC236}">
                <a16:creationId xmlns:a16="http://schemas.microsoft.com/office/drawing/2014/main" id="{00000000-0008-0000-0000-00001C000000}"/>
              </a:ext>
            </a:extLst>
          </xdr:cNvPr>
          <xdr:cNvSpPr>
            <a:spLocks noChangeArrowheads="1"/>
          </xdr:cNvSpPr>
        </xdr:nvSpPr>
        <xdr:spPr bwMode="auto">
          <a:xfrm>
            <a:off x="532" y="435"/>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29" name="Rectangle 30">
            <a:extLst>
              <a:ext uri="{FF2B5EF4-FFF2-40B4-BE49-F238E27FC236}">
                <a16:creationId xmlns:a16="http://schemas.microsoft.com/office/drawing/2014/main" id="{00000000-0008-0000-0000-00001D000000}"/>
              </a:ext>
            </a:extLst>
          </xdr:cNvPr>
          <xdr:cNvSpPr>
            <a:spLocks noChangeArrowheads="1"/>
          </xdr:cNvSpPr>
        </xdr:nvSpPr>
        <xdr:spPr bwMode="auto">
          <a:xfrm>
            <a:off x="410" y="490"/>
            <a:ext cx="8" cy="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300" b="1" i="0" u="none" strike="noStrike" baseline="0">
                <a:solidFill>
                  <a:srgbClr val="000000"/>
                </a:solidFill>
                <a:latin typeface="Times New Roman"/>
                <a:cs typeface="Times New Roman"/>
              </a:rPr>
              <a:t> </a:t>
            </a:r>
          </a:p>
        </xdr:txBody>
      </xdr:sp>
      <xdr:sp macro="" textlink="">
        <xdr:nvSpPr>
          <xdr:cNvPr id="30" name="Rectangle 31">
            <a:extLst>
              <a:ext uri="{FF2B5EF4-FFF2-40B4-BE49-F238E27FC236}">
                <a16:creationId xmlns:a16="http://schemas.microsoft.com/office/drawing/2014/main" id="{00000000-0008-0000-0000-00001E000000}"/>
              </a:ext>
            </a:extLst>
          </xdr:cNvPr>
          <xdr:cNvSpPr>
            <a:spLocks noChangeArrowheads="1"/>
          </xdr:cNvSpPr>
        </xdr:nvSpPr>
        <xdr:spPr bwMode="auto">
          <a:xfrm>
            <a:off x="65" y="525"/>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31" name="Rectangle 32">
            <a:extLst>
              <a:ext uri="{FF2B5EF4-FFF2-40B4-BE49-F238E27FC236}">
                <a16:creationId xmlns:a16="http://schemas.microsoft.com/office/drawing/2014/main" id="{00000000-0008-0000-0000-00001F000000}"/>
              </a:ext>
            </a:extLst>
          </xdr:cNvPr>
          <xdr:cNvSpPr>
            <a:spLocks noChangeArrowheads="1"/>
          </xdr:cNvSpPr>
        </xdr:nvSpPr>
        <xdr:spPr bwMode="auto">
          <a:xfrm>
            <a:off x="39" y="493"/>
            <a:ext cx="560" cy="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p>
            <a:pPr algn="ctr" rtl="0">
              <a:defRPr sz="1000"/>
            </a:pPr>
            <a:r>
              <a:rPr lang="en-US" sz="2300" b="1" i="0" u="none" strike="noStrike" baseline="0">
                <a:solidFill>
                  <a:srgbClr val="000000"/>
                </a:solidFill>
                <a:latin typeface="Times New Roman"/>
                <a:cs typeface="Times New Roman"/>
              </a:rPr>
              <a:t>Construction Works for the Second </a:t>
            </a:r>
          </a:p>
          <a:p>
            <a:pPr algn="ctr" rtl="0">
              <a:defRPr sz="1000"/>
            </a:pPr>
            <a:r>
              <a:rPr lang="en-US" sz="2300" b="1" i="0" u="none" strike="noStrike" baseline="0">
                <a:solidFill>
                  <a:srgbClr val="000000"/>
                </a:solidFill>
                <a:latin typeface="Times New Roman"/>
                <a:cs typeface="Times New Roman"/>
              </a:rPr>
              <a:t>Baricho - Kakuyuni Water Supply</a:t>
            </a:r>
          </a:p>
          <a:p>
            <a:pPr algn="ctr" rtl="0">
              <a:defRPr sz="1000"/>
            </a:pPr>
            <a:r>
              <a:rPr lang="en-US" sz="2300" b="1" i="0" u="none" strike="noStrike" baseline="0">
                <a:solidFill>
                  <a:srgbClr val="000000"/>
                </a:solidFill>
                <a:latin typeface="Times New Roman"/>
                <a:cs typeface="Times New Roman"/>
              </a:rPr>
              <a:t> Project - Lot 1 (Second Baricho - Kakuyuni Pipeline)</a:t>
            </a:r>
          </a:p>
        </xdr:txBody>
      </xdr:sp>
      <xdr:sp macro="" textlink="">
        <xdr:nvSpPr>
          <xdr:cNvPr id="32" name="Rectangle 36">
            <a:extLst>
              <a:ext uri="{FF2B5EF4-FFF2-40B4-BE49-F238E27FC236}">
                <a16:creationId xmlns:a16="http://schemas.microsoft.com/office/drawing/2014/main" id="{00000000-0008-0000-0000-000020000000}"/>
              </a:ext>
            </a:extLst>
          </xdr:cNvPr>
          <xdr:cNvSpPr>
            <a:spLocks noChangeArrowheads="1"/>
          </xdr:cNvSpPr>
        </xdr:nvSpPr>
        <xdr:spPr bwMode="auto">
          <a:xfrm>
            <a:off x="340" y="576"/>
            <a:ext cx="8" cy="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300" b="1" i="0" u="none" strike="noStrike" baseline="0">
                <a:solidFill>
                  <a:srgbClr val="000000"/>
                </a:solidFill>
                <a:latin typeface="Times New Roman"/>
                <a:cs typeface="Times New Roman"/>
              </a:rPr>
              <a:t> </a:t>
            </a:r>
          </a:p>
        </xdr:txBody>
      </xdr:sp>
      <xdr:sp macro="" textlink="">
        <xdr:nvSpPr>
          <xdr:cNvPr id="33" name="Rectangle 38">
            <a:extLst>
              <a:ext uri="{FF2B5EF4-FFF2-40B4-BE49-F238E27FC236}">
                <a16:creationId xmlns:a16="http://schemas.microsoft.com/office/drawing/2014/main" id="{00000000-0008-0000-0000-000021000000}"/>
              </a:ext>
            </a:extLst>
          </xdr:cNvPr>
          <xdr:cNvSpPr>
            <a:spLocks noChangeArrowheads="1"/>
          </xdr:cNvSpPr>
        </xdr:nvSpPr>
        <xdr:spPr bwMode="auto">
          <a:xfrm>
            <a:off x="437" y="592"/>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34" name="Rectangle 39">
            <a:extLst>
              <a:ext uri="{FF2B5EF4-FFF2-40B4-BE49-F238E27FC236}">
                <a16:creationId xmlns:a16="http://schemas.microsoft.com/office/drawing/2014/main" id="{00000000-0008-0000-0000-000022000000}"/>
              </a:ext>
            </a:extLst>
          </xdr:cNvPr>
          <xdr:cNvSpPr>
            <a:spLocks noChangeArrowheads="1"/>
          </xdr:cNvSpPr>
        </xdr:nvSpPr>
        <xdr:spPr bwMode="auto">
          <a:xfrm>
            <a:off x="621" y="615"/>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35" name="Rectangle 40">
            <a:extLst>
              <a:ext uri="{FF2B5EF4-FFF2-40B4-BE49-F238E27FC236}">
                <a16:creationId xmlns:a16="http://schemas.microsoft.com/office/drawing/2014/main" id="{00000000-0008-0000-0000-000023000000}"/>
              </a:ext>
            </a:extLst>
          </xdr:cNvPr>
          <xdr:cNvSpPr>
            <a:spLocks noChangeArrowheads="1"/>
          </xdr:cNvSpPr>
        </xdr:nvSpPr>
        <xdr:spPr bwMode="auto">
          <a:xfrm>
            <a:off x="55" y="631"/>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Times New Roman"/>
                <a:cs typeface="Times New Roman"/>
              </a:rPr>
              <a:t> </a:t>
            </a:r>
          </a:p>
        </xdr:txBody>
      </xdr:sp>
      <xdr:sp macro="" textlink="">
        <xdr:nvSpPr>
          <xdr:cNvPr id="36" name="Rectangle 41">
            <a:extLst>
              <a:ext uri="{FF2B5EF4-FFF2-40B4-BE49-F238E27FC236}">
                <a16:creationId xmlns:a16="http://schemas.microsoft.com/office/drawing/2014/main" id="{00000000-0008-0000-0000-000024000000}"/>
              </a:ext>
            </a:extLst>
          </xdr:cNvPr>
          <xdr:cNvSpPr>
            <a:spLocks noChangeArrowheads="1"/>
          </xdr:cNvSpPr>
        </xdr:nvSpPr>
        <xdr:spPr bwMode="auto">
          <a:xfrm>
            <a:off x="109" y="657"/>
            <a:ext cx="366"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600" b="1" i="0" u="none" strike="noStrike" baseline="0">
                <a:solidFill>
                  <a:srgbClr val="000000"/>
                </a:solidFill>
                <a:latin typeface="Times New Roman"/>
                <a:cs typeface="Times New Roman"/>
              </a:rPr>
              <a:t>ICB No: IDA - 6030 KE </a:t>
            </a:r>
          </a:p>
        </xdr:txBody>
      </xdr:sp>
      <xdr:sp macro="" textlink="">
        <xdr:nvSpPr>
          <xdr:cNvPr id="37" name="Rectangle 43">
            <a:extLst>
              <a:ext uri="{FF2B5EF4-FFF2-40B4-BE49-F238E27FC236}">
                <a16:creationId xmlns:a16="http://schemas.microsoft.com/office/drawing/2014/main" id="{00000000-0008-0000-0000-000025000000}"/>
              </a:ext>
            </a:extLst>
          </xdr:cNvPr>
          <xdr:cNvSpPr>
            <a:spLocks noChangeArrowheads="1"/>
          </xdr:cNvSpPr>
        </xdr:nvSpPr>
        <xdr:spPr bwMode="auto">
          <a:xfrm>
            <a:off x="512" y="658"/>
            <a:ext cx="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000" b="1" i="0" u="none" strike="noStrike" baseline="0">
                <a:solidFill>
                  <a:srgbClr val="000000"/>
                </a:solidFill>
                <a:latin typeface="Times New Roman"/>
                <a:cs typeface="Times New Roman"/>
              </a:rPr>
              <a:t> </a:t>
            </a:r>
          </a:p>
        </xdr:txBody>
      </xdr:sp>
      <xdr:sp macro="" textlink="">
        <xdr:nvSpPr>
          <xdr:cNvPr id="38" name="Rectangle 44">
            <a:extLst>
              <a:ext uri="{FF2B5EF4-FFF2-40B4-BE49-F238E27FC236}">
                <a16:creationId xmlns:a16="http://schemas.microsoft.com/office/drawing/2014/main" id="{00000000-0008-0000-0000-000026000000}"/>
              </a:ext>
            </a:extLst>
          </xdr:cNvPr>
          <xdr:cNvSpPr>
            <a:spLocks noChangeArrowheads="1"/>
          </xdr:cNvSpPr>
        </xdr:nvSpPr>
        <xdr:spPr bwMode="auto">
          <a:xfrm>
            <a:off x="517" y="670"/>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39" name="Rectangle 45">
            <a:extLst>
              <a:ext uri="{FF2B5EF4-FFF2-40B4-BE49-F238E27FC236}">
                <a16:creationId xmlns:a16="http://schemas.microsoft.com/office/drawing/2014/main" id="{00000000-0008-0000-0000-000027000000}"/>
              </a:ext>
            </a:extLst>
          </xdr:cNvPr>
          <xdr:cNvSpPr>
            <a:spLocks noChangeArrowheads="1"/>
          </xdr:cNvSpPr>
        </xdr:nvSpPr>
        <xdr:spPr bwMode="auto">
          <a:xfrm>
            <a:off x="308" y="690"/>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Times New Roman"/>
                <a:cs typeface="Times New Roman"/>
              </a:rPr>
              <a:t> </a:t>
            </a:r>
          </a:p>
        </xdr:txBody>
      </xdr:sp>
      <xdr:sp macro="" textlink="">
        <xdr:nvSpPr>
          <xdr:cNvPr id="40" name="Rectangle 46">
            <a:extLst>
              <a:ext uri="{FF2B5EF4-FFF2-40B4-BE49-F238E27FC236}">
                <a16:creationId xmlns:a16="http://schemas.microsoft.com/office/drawing/2014/main" id="{00000000-0008-0000-0000-000028000000}"/>
              </a:ext>
            </a:extLst>
          </xdr:cNvPr>
          <xdr:cNvSpPr>
            <a:spLocks noChangeArrowheads="1"/>
          </xdr:cNvSpPr>
        </xdr:nvSpPr>
        <xdr:spPr bwMode="auto">
          <a:xfrm>
            <a:off x="308" y="705"/>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Times New Roman"/>
                <a:cs typeface="Times New Roman"/>
              </a:rPr>
              <a:t> </a:t>
            </a:r>
          </a:p>
        </xdr:txBody>
      </xdr:sp>
      <xdr:sp macro="" textlink="">
        <xdr:nvSpPr>
          <xdr:cNvPr id="41" name="Rectangle 47">
            <a:extLst>
              <a:ext uri="{FF2B5EF4-FFF2-40B4-BE49-F238E27FC236}">
                <a16:creationId xmlns:a16="http://schemas.microsoft.com/office/drawing/2014/main" id="{00000000-0008-0000-0000-000029000000}"/>
              </a:ext>
            </a:extLst>
          </xdr:cNvPr>
          <xdr:cNvSpPr>
            <a:spLocks noChangeArrowheads="1"/>
          </xdr:cNvSpPr>
        </xdr:nvSpPr>
        <xdr:spPr bwMode="auto">
          <a:xfrm>
            <a:off x="70" y="724"/>
            <a:ext cx="505"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ctr" rtl="0">
              <a:defRPr sz="1000"/>
            </a:pPr>
            <a:r>
              <a:rPr lang="en-US" sz="2600" b="1" i="0" u="none" strike="noStrike" baseline="0">
                <a:solidFill>
                  <a:srgbClr val="000000"/>
                </a:solidFill>
                <a:latin typeface="Times New Roman"/>
                <a:cs typeface="Times New Roman"/>
              </a:rPr>
              <a:t>Coast Water Works Development</a:t>
            </a:r>
          </a:p>
          <a:p>
            <a:pPr algn="ctr" rtl="0">
              <a:defRPr sz="1000"/>
            </a:pPr>
            <a:r>
              <a:rPr lang="en-US" sz="2600" b="1" i="0" u="none" strike="noStrike" baseline="0">
                <a:solidFill>
                  <a:srgbClr val="000000"/>
                </a:solidFill>
                <a:latin typeface="Times New Roman"/>
                <a:cs typeface="Times New Roman"/>
              </a:rPr>
              <a:t>Agency</a:t>
            </a:r>
          </a:p>
        </xdr:txBody>
      </xdr:sp>
      <xdr:sp macro="" textlink="">
        <xdr:nvSpPr>
          <xdr:cNvPr id="42" name="Rectangle 48">
            <a:extLst>
              <a:ext uri="{FF2B5EF4-FFF2-40B4-BE49-F238E27FC236}">
                <a16:creationId xmlns:a16="http://schemas.microsoft.com/office/drawing/2014/main" id="{00000000-0008-0000-0000-00002A000000}"/>
              </a:ext>
            </a:extLst>
          </xdr:cNvPr>
          <xdr:cNvSpPr>
            <a:spLocks noChangeArrowheads="1"/>
          </xdr:cNvSpPr>
        </xdr:nvSpPr>
        <xdr:spPr bwMode="auto">
          <a:xfrm>
            <a:off x="515" y="726"/>
            <a:ext cx="9"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600" b="1" i="0" u="none" strike="noStrike" baseline="0">
                <a:solidFill>
                  <a:srgbClr val="000000"/>
                </a:solidFill>
                <a:latin typeface="Times New Roman"/>
                <a:cs typeface="Times New Roman"/>
              </a:rPr>
              <a:t> </a:t>
            </a:r>
          </a:p>
        </xdr:txBody>
      </xdr:sp>
      <xdr:sp macro="" textlink="">
        <xdr:nvSpPr>
          <xdr:cNvPr id="43" name="Rectangle 49">
            <a:extLst>
              <a:ext uri="{FF2B5EF4-FFF2-40B4-BE49-F238E27FC236}">
                <a16:creationId xmlns:a16="http://schemas.microsoft.com/office/drawing/2014/main" id="{00000000-0008-0000-0000-00002B000000}"/>
              </a:ext>
            </a:extLst>
          </xdr:cNvPr>
          <xdr:cNvSpPr>
            <a:spLocks noChangeArrowheads="1"/>
          </xdr:cNvSpPr>
        </xdr:nvSpPr>
        <xdr:spPr bwMode="auto">
          <a:xfrm>
            <a:off x="308" y="765"/>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44" name="Rectangle 50">
            <a:extLst>
              <a:ext uri="{FF2B5EF4-FFF2-40B4-BE49-F238E27FC236}">
                <a16:creationId xmlns:a16="http://schemas.microsoft.com/office/drawing/2014/main" id="{00000000-0008-0000-0000-00002C000000}"/>
              </a:ext>
            </a:extLst>
          </xdr:cNvPr>
          <xdr:cNvSpPr>
            <a:spLocks noChangeArrowheads="1"/>
          </xdr:cNvSpPr>
        </xdr:nvSpPr>
        <xdr:spPr bwMode="auto">
          <a:xfrm>
            <a:off x="308" y="784"/>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45" name="Rectangle 51">
            <a:extLst>
              <a:ext uri="{FF2B5EF4-FFF2-40B4-BE49-F238E27FC236}">
                <a16:creationId xmlns:a16="http://schemas.microsoft.com/office/drawing/2014/main" id="{00000000-0008-0000-0000-00002D000000}"/>
              </a:ext>
            </a:extLst>
          </xdr:cNvPr>
          <xdr:cNvSpPr>
            <a:spLocks noChangeArrowheads="1"/>
          </xdr:cNvSpPr>
        </xdr:nvSpPr>
        <xdr:spPr bwMode="auto">
          <a:xfrm>
            <a:off x="244" y="840"/>
            <a:ext cx="141" cy="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900" b="1" i="0" u="none" strike="noStrike" baseline="0">
                <a:solidFill>
                  <a:srgbClr val="000000"/>
                </a:solidFill>
                <a:latin typeface="Times New Roman"/>
                <a:cs typeface="Times New Roman"/>
              </a:rPr>
              <a:t>KENYA</a:t>
            </a:r>
          </a:p>
        </xdr:txBody>
      </xdr:sp>
      <xdr:sp macro="" textlink="">
        <xdr:nvSpPr>
          <xdr:cNvPr id="46" name="Rectangle 53">
            <a:extLst>
              <a:ext uri="{FF2B5EF4-FFF2-40B4-BE49-F238E27FC236}">
                <a16:creationId xmlns:a16="http://schemas.microsoft.com/office/drawing/2014/main" id="{00000000-0008-0000-0000-00002E000000}"/>
              </a:ext>
            </a:extLst>
          </xdr:cNvPr>
          <xdr:cNvSpPr>
            <a:spLocks noChangeArrowheads="1"/>
          </xdr:cNvSpPr>
        </xdr:nvSpPr>
        <xdr:spPr bwMode="auto">
          <a:xfrm>
            <a:off x="375" y="790"/>
            <a:ext cx="12" cy="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3700" b="1" i="0" u="none" strike="noStrike" baseline="0">
                <a:solidFill>
                  <a:srgbClr val="000000"/>
                </a:solidFill>
                <a:latin typeface="Times New Roman"/>
                <a:cs typeface="Times New Roman"/>
              </a:rPr>
              <a:t> </a:t>
            </a:r>
          </a:p>
        </xdr:txBody>
      </xdr:sp>
      <xdr:sp macro="" textlink="">
        <xdr:nvSpPr>
          <xdr:cNvPr id="47" name="Rectangle 54">
            <a:extLst>
              <a:ext uri="{FF2B5EF4-FFF2-40B4-BE49-F238E27FC236}">
                <a16:creationId xmlns:a16="http://schemas.microsoft.com/office/drawing/2014/main" id="{00000000-0008-0000-0000-00002F000000}"/>
              </a:ext>
            </a:extLst>
          </xdr:cNvPr>
          <xdr:cNvSpPr>
            <a:spLocks noChangeArrowheads="1"/>
          </xdr:cNvSpPr>
        </xdr:nvSpPr>
        <xdr:spPr bwMode="auto">
          <a:xfrm>
            <a:off x="387" y="819"/>
            <a:ext cx="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0" i="0" u="none" strike="noStrike" baseline="0">
                <a:solidFill>
                  <a:srgbClr val="000000"/>
                </a:solidFill>
                <a:latin typeface="Times New Roman"/>
                <a:cs typeface="Times New Roman"/>
              </a:rPr>
              <a:t> </a:t>
            </a:r>
          </a:p>
        </xdr:txBody>
      </xdr:sp>
      <xdr:sp macro="" textlink="">
        <xdr:nvSpPr>
          <xdr:cNvPr id="48" name="Rectangle 55">
            <a:extLst>
              <a:ext uri="{FF2B5EF4-FFF2-40B4-BE49-F238E27FC236}">
                <a16:creationId xmlns:a16="http://schemas.microsoft.com/office/drawing/2014/main" id="{00000000-0008-0000-0000-000030000000}"/>
              </a:ext>
            </a:extLst>
          </xdr:cNvPr>
          <xdr:cNvSpPr>
            <a:spLocks noChangeArrowheads="1"/>
          </xdr:cNvSpPr>
        </xdr:nvSpPr>
        <xdr:spPr bwMode="auto">
          <a:xfrm>
            <a:off x="45" y="845"/>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49" name="Rectangle 56">
            <a:extLst>
              <a:ext uri="{FF2B5EF4-FFF2-40B4-BE49-F238E27FC236}">
                <a16:creationId xmlns:a16="http://schemas.microsoft.com/office/drawing/2014/main" id="{00000000-0008-0000-0000-000031000000}"/>
              </a:ext>
            </a:extLst>
          </xdr:cNvPr>
          <xdr:cNvSpPr>
            <a:spLocks noChangeArrowheads="1"/>
          </xdr:cNvSpPr>
        </xdr:nvSpPr>
        <xdr:spPr bwMode="auto">
          <a:xfrm>
            <a:off x="48" y="845"/>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p>
        </xdr:txBody>
      </xdr:sp>
      <xdr:sp macro="" textlink="">
        <xdr:nvSpPr>
          <xdr:cNvPr id="50" name="Rectangle 57">
            <a:extLst>
              <a:ext uri="{FF2B5EF4-FFF2-40B4-BE49-F238E27FC236}">
                <a16:creationId xmlns:a16="http://schemas.microsoft.com/office/drawing/2014/main" id="{00000000-0008-0000-0000-000032000000}"/>
              </a:ext>
            </a:extLst>
          </xdr:cNvPr>
          <xdr:cNvSpPr>
            <a:spLocks noChangeArrowheads="1"/>
          </xdr:cNvSpPr>
        </xdr:nvSpPr>
        <xdr:spPr bwMode="auto">
          <a:xfrm>
            <a:off x="308" y="853"/>
            <a:ext cx="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000" b="1" i="0" u="none" strike="noStrike" baseline="0">
                <a:solidFill>
                  <a:srgbClr val="000000"/>
                </a:solidFill>
                <a:latin typeface="Times New Roman"/>
                <a:cs typeface="Times New Roman"/>
              </a:rPr>
              <a:t> </a:t>
            </a:r>
          </a:p>
        </xdr:txBody>
      </xdr:sp>
      <xdr:sp macro="" textlink="">
        <xdr:nvSpPr>
          <xdr:cNvPr id="51" name="Rectangle 58">
            <a:extLst>
              <a:ext uri="{FF2B5EF4-FFF2-40B4-BE49-F238E27FC236}">
                <a16:creationId xmlns:a16="http://schemas.microsoft.com/office/drawing/2014/main" id="{00000000-0008-0000-0000-000033000000}"/>
              </a:ext>
            </a:extLst>
          </xdr:cNvPr>
          <xdr:cNvSpPr>
            <a:spLocks noChangeArrowheads="1"/>
          </xdr:cNvSpPr>
        </xdr:nvSpPr>
        <xdr:spPr bwMode="auto">
          <a:xfrm>
            <a:off x="315" y="864"/>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0" i="0" u="none" strike="noStrike" baseline="0">
                <a:solidFill>
                  <a:srgbClr val="000000"/>
                </a:solidFill>
                <a:latin typeface="Times New Roman"/>
                <a:cs typeface="Times New Roman"/>
              </a:rPr>
              <a:t> </a:t>
            </a:r>
          </a:p>
        </xdr:txBody>
      </xdr:sp>
      <xdr:sp macro="" textlink="">
        <xdr:nvSpPr>
          <xdr:cNvPr id="52" name="Rectangle 59">
            <a:extLst>
              <a:ext uri="{FF2B5EF4-FFF2-40B4-BE49-F238E27FC236}">
                <a16:creationId xmlns:a16="http://schemas.microsoft.com/office/drawing/2014/main" id="{00000000-0008-0000-0000-000034000000}"/>
              </a:ext>
            </a:extLst>
          </xdr:cNvPr>
          <xdr:cNvSpPr>
            <a:spLocks noChangeArrowheads="1"/>
          </xdr:cNvSpPr>
        </xdr:nvSpPr>
        <xdr:spPr bwMode="auto">
          <a:xfrm>
            <a:off x="43" y="34"/>
            <a:ext cx="57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 name="Rectangle 61">
            <a:extLst>
              <a:ext uri="{FF2B5EF4-FFF2-40B4-BE49-F238E27FC236}">
                <a16:creationId xmlns:a16="http://schemas.microsoft.com/office/drawing/2014/main" id="{00000000-0008-0000-0000-000035000000}"/>
              </a:ext>
            </a:extLst>
          </xdr:cNvPr>
          <xdr:cNvSpPr>
            <a:spLocks noChangeArrowheads="1"/>
          </xdr:cNvSpPr>
        </xdr:nvSpPr>
        <xdr:spPr bwMode="auto">
          <a:xfrm>
            <a:off x="253" y="124"/>
            <a:ext cx="8"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 </a:t>
            </a:r>
          </a:p>
        </xdr:txBody>
      </xdr:sp>
      <xdr:sp macro="" textlink="">
        <xdr:nvSpPr>
          <xdr:cNvPr id="54" name="Rectangle 62">
            <a:extLst>
              <a:ext uri="{FF2B5EF4-FFF2-40B4-BE49-F238E27FC236}">
                <a16:creationId xmlns:a16="http://schemas.microsoft.com/office/drawing/2014/main" id="{00000000-0008-0000-0000-000036000000}"/>
              </a:ext>
            </a:extLst>
          </xdr:cNvPr>
          <xdr:cNvSpPr>
            <a:spLocks noChangeArrowheads="1"/>
          </xdr:cNvSpPr>
        </xdr:nvSpPr>
        <xdr:spPr bwMode="auto">
          <a:xfrm>
            <a:off x="262" y="139"/>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0" i="0" u="none" strike="noStrike" baseline="0">
                <a:solidFill>
                  <a:srgbClr val="000000"/>
                </a:solidFill>
                <a:latin typeface="Times New Roman"/>
                <a:cs typeface="Times New Roman"/>
              </a:rPr>
              <a:t> </a:t>
            </a:r>
          </a:p>
        </xdr:txBody>
      </xdr:sp>
      <xdr:sp macro="" textlink="">
        <xdr:nvSpPr>
          <xdr:cNvPr id="55" name="Rectangle 63">
            <a:extLst>
              <a:ext uri="{FF2B5EF4-FFF2-40B4-BE49-F238E27FC236}">
                <a16:creationId xmlns:a16="http://schemas.microsoft.com/office/drawing/2014/main" id="{00000000-0008-0000-0000-000037000000}"/>
              </a:ext>
            </a:extLst>
          </xdr:cNvPr>
          <xdr:cNvSpPr>
            <a:spLocks noChangeArrowheads="1"/>
          </xdr:cNvSpPr>
        </xdr:nvSpPr>
        <xdr:spPr bwMode="auto">
          <a:xfrm>
            <a:off x="283" y="124"/>
            <a:ext cx="8"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 </a:t>
            </a:r>
          </a:p>
        </xdr:txBody>
      </xdr:sp>
      <xdr:sp macro="" textlink="">
        <xdr:nvSpPr>
          <xdr:cNvPr id="56" name="Rectangle 64">
            <a:extLst>
              <a:ext uri="{FF2B5EF4-FFF2-40B4-BE49-F238E27FC236}">
                <a16:creationId xmlns:a16="http://schemas.microsoft.com/office/drawing/2014/main" id="{00000000-0008-0000-0000-000038000000}"/>
              </a:ext>
            </a:extLst>
          </xdr:cNvPr>
          <xdr:cNvSpPr>
            <a:spLocks noChangeArrowheads="1"/>
          </xdr:cNvSpPr>
        </xdr:nvSpPr>
        <xdr:spPr bwMode="auto">
          <a:xfrm>
            <a:off x="290" y="139"/>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0" i="0" u="none" strike="noStrike" baseline="0">
                <a:solidFill>
                  <a:srgbClr val="000000"/>
                </a:solidFill>
                <a:latin typeface="Times New Roman"/>
                <a:cs typeface="Times New Roman"/>
              </a:rPr>
              <a:t> </a:t>
            </a:r>
          </a:p>
        </xdr:txBody>
      </xdr:sp>
      <xdr:sp macro="" textlink="">
        <xdr:nvSpPr>
          <xdr:cNvPr id="57" name="Rectangle 65">
            <a:extLst>
              <a:ext uri="{FF2B5EF4-FFF2-40B4-BE49-F238E27FC236}">
                <a16:creationId xmlns:a16="http://schemas.microsoft.com/office/drawing/2014/main" id="{00000000-0008-0000-0000-000039000000}"/>
              </a:ext>
            </a:extLst>
          </xdr:cNvPr>
          <xdr:cNvSpPr>
            <a:spLocks noChangeArrowheads="1"/>
          </xdr:cNvSpPr>
        </xdr:nvSpPr>
        <xdr:spPr bwMode="auto">
          <a:xfrm>
            <a:off x="330" y="124"/>
            <a:ext cx="8"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 </a:t>
            </a:r>
          </a:p>
        </xdr:txBody>
      </xdr:sp>
      <xdr:sp macro="" textlink="">
        <xdr:nvSpPr>
          <xdr:cNvPr id="58" name="Rectangle 66">
            <a:extLst>
              <a:ext uri="{FF2B5EF4-FFF2-40B4-BE49-F238E27FC236}">
                <a16:creationId xmlns:a16="http://schemas.microsoft.com/office/drawing/2014/main" id="{00000000-0008-0000-0000-00003A000000}"/>
              </a:ext>
            </a:extLst>
          </xdr:cNvPr>
          <xdr:cNvSpPr>
            <a:spLocks noChangeArrowheads="1"/>
          </xdr:cNvSpPr>
        </xdr:nvSpPr>
        <xdr:spPr bwMode="auto">
          <a:xfrm>
            <a:off x="338" y="139"/>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0" i="0" u="none" strike="noStrike" baseline="0">
                <a:solidFill>
                  <a:srgbClr val="000000"/>
                </a:solidFill>
                <a:latin typeface="Times New Roman"/>
                <a:cs typeface="Times New Roman"/>
              </a:rPr>
              <a:t> </a:t>
            </a:r>
          </a:p>
        </xdr:txBody>
      </xdr:sp>
      <xdr:sp macro="" textlink="">
        <xdr:nvSpPr>
          <xdr:cNvPr id="59" name="Rectangle 67">
            <a:extLst>
              <a:ext uri="{FF2B5EF4-FFF2-40B4-BE49-F238E27FC236}">
                <a16:creationId xmlns:a16="http://schemas.microsoft.com/office/drawing/2014/main" id="{00000000-0008-0000-0000-00003B000000}"/>
              </a:ext>
            </a:extLst>
          </xdr:cNvPr>
          <xdr:cNvSpPr>
            <a:spLocks noChangeArrowheads="1"/>
          </xdr:cNvSpPr>
        </xdr:nvSpPr>
        <xdr:spPr bwMode="auto">
          <a:xfrm>
            <a:off x="378" y="124"/>
            <a:ext cx="8"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500" b="1" i="0" u="none" strike="noStrike" baseline="0">
                <a:solidFill>
                  <a:srgbClr val="000000"/>
                </a:solidFill>
                <a:latin typeface="Times New Roman"/>
                <a:cs typeface="Times New Roman"/>
              </a:rPr>
              <a:t> </a:t>
            </a:r>
          </a:p>
        </xdr:txBody>
      </xdr:sp>
      <xdr:sp macro="" textlink="">
        <xdr:nvSpPr>
          <xdr:cNvPr id="60" name="Rectangle 68">
            <a:extLst>
              <a:ext uri="{FF2B5EF4-FFF2-40B4-BE49-F238E27FC236}">
                <a16:creationId xmlns:a16="http://schemas.microsoft.com/office/drawing/2014/main" id="{00000000-0008-0000-0000-00003C000000}"/>
              </a:ext>
            </a:extLst>
          </xdr:cNvPr>
          <xdr:cNvSpPr>
            <a:spLocks noChangeArrowheads="1"/>
          </xdr:cNvSpPr>
        </xdr:nvSpPr>
        <xdr:spPr bwMode="auto">
          <a:xfrm>
            <a:off x="387" y="139"/>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0" i="0" u="none" strike="noStrike" baseline="0">
                <a:solidFill>
                  <a:srgbClr val="000000"/>
                </a:solidFill>
                <a:latin typeface="Times New Roman"/>
                <a:cs typeface="Times New Roman"/>
              </a:rPr>
              <a:t> </a:t>
            </a:r>
          </a:p>
        </xdr:txBody>
      </xdr:sp>
      <xdr:sp macro="" textlink="">
        <xdr:nvSpPr>
          <xdr:cNvPr id="61" name="Rectangle 72">
            <a:extLst>
              <a:ext uri="{FF2B5EF4-FFF2-40B4-BE49-F238E27FC236}">
                <a16:creationId xmlns:a16="http://schemas.microsoft.com/office/drawing/2014/main" id="{00000000-0008-0000-0000-00003D000000}"/>
              </a:ext>
            </a:extLst>
          </xdr:cNvPr>
          <xdr:cNvSpPr>
            <a:spLocks noChangeArrowheads="1"/>
          </xdr:cNvSpPr>
        </xdr:nvSpPr>
        <xdr:spPr bwMode="auto">
          <a:xfrm>
            <a:off x="614" y="133"/>
            <a:ext cx="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000" b="1" i="0" u="none" strike="noStrike" baseline="0">
                <a:solidFill>
                  <a:srgbClr val="000000"/>
                </a:solidFill>
                <a:latin typeface="Times New Roman"/>
                <a:cs typeface="Times New Roman"/>
              </a:rPr>
              <a:t> </a:t>
            </a:r>
          </a:p>
        </xdr:txBody>
      </xdr:sp>
      <xdr:sp macro="" textlink="">
        <xdr:nvSpPr>
          <xdr:cNvPr id="62" name="Rectangle 73">
            <a:extLst>
              <a:ext uri="{FF2B5EF4-FFF2-40B4-BE49-F238E27FC236}">
                <a16:creationId xmlns:a16="http://schemas.microsoft.com/office/drawing/2014/main" id="{00000000-0008-0000-0000-00003E000000}"/>
              </a:ext>
            </a:extLst>
          </xdr:cNvPr>
          <xdr:cNvSpPr>
            <a:spLocks noChangeArrowheads="1"/>
          </xdr:cNvSpPr>
        </xdr:nvSpPr>
        <xdr:spPr bwMode="auto">
          <a:xfrm>
            <a:off x="621" y="143"/>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0" i="0" u="none" strike="noStrike" baseline="0">
                <a:solidFill>
                  <a:srgbClr val="000000"/>
                </a:solidFill>
                <a:latin typeface="Times New Roman"/>
                <a:cs typeface="Times New Roman"/>
              </a:rPr>
              <a:t> </a:t>
            </a:r>
          </a:p>
        </xdr:txBody>
      </xdr:sp>
    </xdr:grpSp>
    <xdr:clientData/>
  </xdr:twoCellAnchor>
  <xdr:oneCellAnchor>
    <xdr:from>
      <xdr:col>1</xdr:col>
      <xdr:colOff>3687378</xdr:colOff>
      <xdr:row>1</xdr:row>
      <xdr:rowOff>1699</xdr:rowOff>
    </xdr:from>
    <xdr:ext cx="1453775" cy="820209"/>
    <xdr:pic>
      <xdr:nvPicPr>
        <xdr:cNvPr id="65" name="Picture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tretch>
          <a:fillRect/>
        </a:stretch>
      </xdr:blipFill>
      <xdr:spPr>
        <a:xfrm>
          <a:off x="1248978" y="169339"/>
          <a:ext cx="1453775" cy="820209"/>
        </a:xfrm>
        <a:prstGeom prst="rect">
          <a:avLst/>
        </a:prstGeom>
      </xdr:spPr>
    </xdr:pic>
    <xdr:clientData/>
  </xdr:oneCellAnchor>
  <xdr:oneCellAnchor>
    <xdr:from>
      <xdr:col>1</xdr:col>
      <xdr:colOff>89650</xdr:colOff>
      <xdr:row>0</xdr:row>
      <xdr:rowOff>403412</xdr:rowOff>
    </xdr:from>
    <xdr:ext cx="979715" cy="910072"/>
    <xdr:pic>
      <xdr:nvPicPr>
        <xdr:cNvPr id="66" name="Picture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2"/>
        <a:stretch>
          <a:fillRect/>
        </a:stretch>
      </xdr:blipFill>
      <xdr:spPr>
        <a:xfrm>
          <a:off x="714490" y="167192"/>
          <a:ext cx="979715" cy="91007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22</xdr:row>
      <xdr:rowOff>15240</xdr:rowOff>
    </xdr:from>
    <xdr:ext cx="15240" cy="45719"/>
    <xdr:sp macro="" textlink="">
      <xdr:nvSpPr>
        <xdr:cNvPr id="2" name="TextBox 1">
          <a:extLst>
            <a:ext uri="{FF2B5EF4-FFF2-40B4-BE49-F238E27FC236}">
              <a16:creationId xmlns:a16="http://schemas.microsoft.com/office/drawing/2014/main" id="{00000000-0008-0000-0100-000002000000}"/>
            </a:ext>
          </a:extLst>
        </xdr:cNvPr>
        <xdr:cNvSpPr txBox="1"/>
      </xdr:nvSpPr>
      <xdr:spPr>
        <a:xfrm flipH="1">
          <a:off x="0" y="10782300"/>
          <a:ext cx="1524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2353</xdr:colOff>
      <xdr:row>57</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79028"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3</xdr:col>
      <xdr:colOff>2353</xdr:colOff>
      <xdr:row>37</xdr:row>
      <xdr:rowOff>0</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249382" y="14545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3</xdr:col>
      <xdr:colOff>2353</xdr:colOff>
      <xdr:row>79</xdr:row>
      <xdr:rowOff>0</xdr:rowOff>
    </xdr:from>
    <xdr:ext cx="184731" cy="26456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4249382" y="12472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400050</xdr:colOff>
      <xdr:row>23</xdr:row>
      <xdr:rowOff>19051</xdr:rowOff>
    </xdr:from>
    <xdr:to>
      <xdr:col>10</xdr:col>
      <xdr:colOff>85725</xdr:colOff>
      <xdr:row>25</xdr:row>
      <xdr:rowOff>9525</xdr:rowOff>
    </xdr:to>
    <xdr:cxnSp macro="">
      <xdr:nvCxnSpPr>
        <xdr:cNvPr id="2" name="Elbow Connector 1">
          <a:extLst>
            <a:ext uri="{FF2B5EF4-FFF2-40B4-BE49-F238E27FC236}">
              <a16:creationId xmlns:a16="http://schemas.microsoft.com/office/drawing/2014/main" id="{00000000-0008-0000-0600-000002000000}"/>
            </a:ext>
          </a:extLst>
        </xdr:cNvPr>
        <xdr:cNvCxnSpPr/>
      </xdr:nvCxnSpPr>
      <xdr:spPr>
        <a:xfrm flipV="1">
          <a:off x="8734425" y="6105526"/>
          <a:ext cx="904875" cy="314324"/>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419100</xdr:colOff>
      <xdr:row>23</xdr:row>
      <xdr:rowOff>19050</xdr:rowOff>
    </xdr:from>
    <xdr:to>
      <xdr:col>11</xdr:col>
      <xdr:colOff>175260</xdr:colOff>
      <xdr:row>23</xdr:row>
      <xdr:rowOff>19050</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9972675" y="6105525"/>
          <a:ext cx="3657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25</xdr:row>
      <xdr:rowOff>9525</xdr:rowOff>
    </xdr:from>
    <xdr:to>
      <xdr:col>8</xdr:col>
      <xdr:colOff>533400</xdr:colOff>
      <xdr:row>25</xdr:row>
      <xdr:rowOff>9525</xdr:rowOff>
    </xdr:to>
    <xdr:cxnSp macro="">
      <xdr:nvCxnSpPr>
        <xdr:cNvPr id="4" name="Straight Connector 3">
          <a:extLst>
            <a:ext uri="{FF2B5EF4-FFF2-40B4-BE49-F238E27FC236}">
              <a16:creationId xmlns:a16="http://schemas.microsoft.com/office/drawing/2014/main" id="{00000000-0008-0000-0600-000004000000}"/>
            </a:ext>
          </a:extLst>
        </xdr:cNvPr>
        <xdr:cNvCxnSpPr/>
      </xdr:nvCxnSpPr>
      <xdr:spPr>
        <a:xfrm>
          <a:off x="7991475" y="6419850"/>
          <a:ext cx="876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1295400</xdr:colOff>
      <xdr:row>86</xdr:row>
      <xdr:rowOff>0</xdr:rowOff>
    </xdr:from>
    <xdr:ext cx="0" cy="381000"/>
    <xdr:pic>
      <xdr:nvPicPr>
        <xdr:cNvPr id="2" name="Picture 1" descr="ALMASHRI_0">
          <a:extLst>
            <a:ext uri="{FF2B5EF4-FFF2-40B4-BE49-F238E27FC236}">
              <a16:creationId xmlns:a16="http://schemas.microsoft.com/office/drawing/2014/main" id="{ED78F4AD-F92E-4D6F-B77A-1ED2976EE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 name="Picture 1" descr="ALMASHRI_0">
          <a:extLst>
            <a:ext uri="{FF2B5EF4-FFF2-40B4-BE49-F238E27FC236}">
              <a16:creationId xmlns:a16="http://schemas.microsoft.com/office/drawing/2014/main" id="{BF7B263C-7BE0-49CA-B40D-B3D3486D9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4" name="Picture 1" descr="ALMASHRI_0">
          <a:extLst>
            <a:ext uri="{FF2B5EF4-FFF2-40B4-BE49-F238E27FC236}">
              <a16:creationId xmlns:a16="http://schemas.microsoft.com/office/drawing/2014/main" id="{74B10E9C-BCD8-4770-8DC5-FF04B908B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 name="Picture 1" descr="ALMASHRI_0">
          <a:extLst>
            <a:ext uri="{FF2B5EF4-FFF2-40B4-BE49-F238E27FC236}">
              <a16:creationId xmlns:a16="http://schemas.microsoft.com/office/drawing/2014/main" id="{A5E835B1-9195-4A55-B3F5-E4D4E2955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 name="Picture 1" descr="ALMASHRI_0">
          <a:extLst>
            <a:ext uri="{FF2B5EF4-FFF2-40B4-BE49-F238E27FC236}">
              <a16:creationId xmlns:a16="http://schemas.microsoft.com/office/drawing/2014/main" id="{10596E12-0D01-4A0D-BDB1-53B4C7F19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 name="Picture 1" descr="ALMASHRI_0">
          <a:extLst>
            <a:ext uri="{FF2B5EF4-FFF2-40B4-BE49-F238E27FC236}">
              <a16:creationId xmlns:a16="http://schemas.microsoft.com/office/drawing/2014/main" id="{F2962F96-8189-4C36-8170-E83CF4B1B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8" name="Picture 1" descr="ALMASHRI_0">
          <a:extLst>
            <a:ext uri="{FF2B5EF4-FFF2-40B4-BE49-F238E27FC236}">
              <a16:creationId xmlns:a16="http://schemas.microsoft.com/office/drawing/2014/main" id="{E4D5A468-2626-47DB-A911-18CE700BE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 name="Picture 1" descr="ALMASHRI_0">
          <a:extLst>
            <a:ext uri="{FF2B5EF4-FFF2-40B4-BE49-F238E27FC236}">
              <a16:creationId xmlns:a16="http://schemas.microsoft.com/office/drawing/2014/main" id="{6DAA53BD-F091-48B3-8592-09898D769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0" name="Picture 1" descr="ALMASHRI_0">
          <a:extLst>
            <a:ext uri="{FF2B5EF4-FFF2-40B4-BE49-F238E27FC236}">
              <a16:creationId xmlns:a16="http://schemas.microsoft.com/office/drawing/2014/main" id="{C1DFAF20-26B1-4FC6-864D-155863915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1" name="Picture 1" descr="ALMASHRI_0">
          <a:extLst>
            <a:ext uri="{FF2B5EF4-FFF2-40B4-BE49-F238E27FC236}">
              <a16:creationId xmlns:a16="http://schemas.microsoft.com/office/drawing/2014/main" id="{0C274B9F-58E8-4DD5-A139-CCDC82720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2" name="Picture 1" descr="ALMASHRI_0">
          <a:extLst>
            <a:ext uri="{FF2B5EF4-FFF2-40B4-BE49-F238E27FC236}">
              <a16:creationId xmlns:a16="http://schemas.microsoft.com/office/drawing/2014/main" id="{707EF1A2-1656-48AC-81DE-B5DBEB3CA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 name="Picture 1" descr="ALMASHRI_0">
          <a:extLst>
            <a:ext uri="{FF2B5EF4-FFF2-40B4-BE49-F238E27FC236}">
              <a16:creationId xmlns:a16="http://schemas.microsoft.com/office/drawing/2014/main" id="{7A0FEE57-8FA9-41A1-8CBA-AD6393C33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4" name="Picture 1" descr="ALMASHRI_0">
          <a:extLst>
            <a:ext uri="{FF2B5EF4-FFF2-40B4-BE49-F238E27FC236}">
              <a16:creationId xmlns:a16="http://schemas.microsoft.com/office/drawing/2014/main" id="{AC4915C6-6B52-456B-A3A8-A751FD6A0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5" name="Picture 1" descr="ALMASHRI_0">
          <a:extLst>
            <a:ext uri="{FF2B5EF4-FFF2-40B4-BE49-F238E27FC236}">
              <a16:creationId xmlns:a16="http://schemas.microsoft.com/office/drawing/2014/main" id="{05B4FFC8-8FE2-4607-B394-D3DBDACC2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6" name="Picture 1" descr="ALMASHRI_0">
          <a:extLst>
            <a:ext uri="{FF2B5EF4-FFF2-40B4-BE49-F238E27FC236}">
              <a16:creationId xmlns:a16="http://schemas.microsoft.com/office/drawing/2014/main" id="{695A7530-456A-40EA-AD25-EAA400646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7" name="Picture 1" descr="ALMASHRI_0">
          <a:extLst>
            <a:ext uri="{FF2B5EF4-FFF2-40B4-BE49-F238E27FC236}">
              <a16:creationId xmlns:a16="http://schemas.microsoft.com/office/drawing/2014/main" id="{95E1B85C-2C02-4224-92C3-6B9304F99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8" name="Picture 1" descr="ALMASHRI_0">
          <a:extLst>
            <a:ext uri="{FF2B5EF4-FFF2-40B4-BE49-F238E27FC236}">
              <a16:creationId xmlns:a16="http://schemas.microsoft.com/office/drawing/2014/main" id="{34729378-98A6-4A3B-B84D-174FFB24D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9" name="Picture 1" descr="ALMASHRI_0">
          <a:extLst>
            <a:ext uri="{FF2B5EF4-FFF2-40B4-BE49-F238E27FC236}">
              <a16:creationId xmlns:a16="http://schemas.microsoft.com/office/drawing/2014/main" id="{01F76D06-8896-4827-9E18-B22E6F4ED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0" name="Picture 1" descr="ALMASHRI_0">
          <a:extLst>
            <a:ext uri="{FF2B5EF4-FFF2-40B4-BE49-F238E27FC236}">
              <a16:creationId xmlns:a16="http://schemas.microsoft.com/office/drawing/2014/main" id="{7F1055BE-FEEE-4A2B-A49A-AA169C889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1" name="Picture 1" descr="ALMASHRI_0">
          <a:extLst>
            <a:ext uri="{FF2B5EF4-FFF2-40B4-BE49-F238E27FC236}">
              <a16:creationId xmlns:a16="http://schemas.microsoft.com/office/drawing/2014/main" id="{D5DBB869-C831-4871-9F8D-64B431A29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2" name="Picture 1" descr="ALMASHRI_0">
          <a:extLst>
            <a:ext uri="{FF2B5EF4-FFF2-40B4-BE49-F238E27FC236}">
              <a16:creationId xmlns:a16="http://schemas.microsoft.com/office/drawing/2014/main" id="{D96376EC-BC79-47BC-8D16-6BB20413C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3" name="Picture 1" descr="ALMASHRI_0">
          <a:extLst>
            <a:ext uri="{FF2B5EF4-FFF2-40B4-BE49-F238E27FC236}">
              <a16:creationId xmlns:a16="http://schemas.microsoft.com/office/drawing/2014/main" id="{07F9E2C4-CC52-4834-A365-5F319DE5F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4" name="Picture 1" descr="ALMASHRI_0">
          <a:extLst>
            <a:ext uri="{FF2B5EF4-FFF2-40B4-BE49-F238E27FC236}">
              <a16:creationId xmlns:a16="http://schemas.microsoft.com/office/drawing/2014/main" id="{2F923F82-4D21-463F-A419-3A26483C9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5" name="Picture 1" descr="ALMASHRI_0">
          <a:extLst>
            <a:ext uri="{FF2B5EF4-FFF2-40B4-BE49-F238E27FC236}">
              <a16:creationId xmlns:a16="http://schemas.microsoft.com/office/drawing/2014/main" id="{E83BED97-C3FB-4D88-9D72-78EC6BE6A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6" name="Picture 1" descr="ALMASHRI_0">
          <a:extLst>
            <a:ext uri="{FF2B5EF4-FFF2-40B4-BE49-F238E27FC236}">
              <a16:creationId xmlns:a16="http://schemas.microsoft.com/office/drawing/2014/main" id="{FB1838BA-8CC0-48DB-8499-01B9D9630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7" name="Picture 1" descr="ALMASHRI_0">
          <a:extLst>
            <a:ext uri="{FF2B5EF4-FFF2-40B4-BE49-F238E27FC236}">
              <a16:creationId xmlns:a16="http://schemas.microsoft.com/office/drawing/2014/main" id="{FBE3B04A-D007-4DE8-9F97-A3943AF4C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 name="Picture 1" descr="ALMASHRI_0">
          <a:extLst>
            <a:ext uri="{FF2B5EF4-FFF2-40B4-BE49-F238E27FC236}">
              <a16:creationId xmlns:a16="http://schemas.microsoft.com/office/drawing/2014/main" id="{9BE7FF93-70A0-4BC2-A1E8-E7723C55B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9" name="Picture 1" descr="ALMASHRI_0">
          <a:extLst>
            <a:ext uri="{FF2B5EF4-FFF2-40B4-BE49-F238E27FC236}">
              <a16:creationId xmlns:a16="http://schemas.microsoft.com/office/drawing/2014/main" id="{0629DC52-16A1-4735-8355-B1A7A2719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30" name="Picture 1" descr="ALMASHRI_0">
          <a:extLst>
            <a:ext uri="{FF2B5EF4-FFF2-40B4-BE49-F238E27FC236}">
              <a16:creationId xmlns:a16="http://schemas.microsoft.com/office/drawing/2014/main" id="{49FEF0C3-F86D-41F7-B6E9-FAC954053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31" name="Picture 1" descr="ALMASHRI_0">
          <a:extLst>
            <a:ext uri="{FF2B5EF4-FFF2-40B4-BE49-F238E27FC236}">
              <a16:creationId xmlns:a16="http://schemas.microsoft.com/office/drawing/2014/main" id="{36701093-7061-4B07-865D-4A06E8732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32" name="Picture 1" descr="ALMASHRI_0">
          <a:extLst>
            <a:ext uri="{FF2B5EF4-FFF2-40B4-BE49-F238E27FC236}">
              <a16:creationId xmlns:a16="http://schemas.microsoft.com/office/drawing/2014/main" id="{6EF8D12E-36AD-4BBC-9678-AD67E8CC7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33" name="Picture 1" descr="ALMASHRI_0">
          <a:extLst>
            <a:ext uri="{FF2B5EF4-FFF2-40B4-BE49-F238E27FC236}">
              <a16:creationId xmlns:a16="http://schemas.microsoft.com/office/drawing/2014/main" id="{C7A87DDF-6B2B-4410-B683-FC035002E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4" name="Picture 1" descr="ALMASHRI_0">
          <a:extLst>
            <a:ext uri="{FF2B5EF4-FFF2-40B4-BE49-F238E27FC236}">
              <a16:creationId xmlns:a16="http://schemas.microsoft.com/office/drawing/2014/main" id="{BF4FDE7D-1FE1-4CE8-97A8-B9789CBA7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5" name="Picture 1" descr="ALMASHRI_0">
          <a:extLst>
            <a:ext uri="{FF2B5EF4-FFF2-40B4-BE49-F238E27FC236}">
              <a16:creationId xmlns:a16="http://schemas.microsoft.com/office/drawing/2014/main" id="{ACC08A66-983F-4679-B15D-BAC4A19D0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 name="Picture 1" descr="ALMASHRI_0">
          <a:extLst>
            <a:ext uri="{FF2B5EF4-FFF2-40B4-BE49-F238E27FC236}">
              <a16:creationId xmlns:a16="http://schemas.microsoft.com/office/drawing/2014/main" id="{5B5E2C5B-0B71-4600-B0AD-9DB43F186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7" name="Picture 1" descr="ALMASHRI_0">
          <a:extLst>
            <a:ext uri="{FF2B5EF4-FFF2-40B4-BE49-F238E27FC236}">
              <a16:creationId xmlns:a16="http://schemas.microsoft.com/office/drawing/2014/main" id="{56ACA056-52F9-43E6-B3C8-92F38D194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8" name="Picture 1" descr="ALMASHRI_0">
          <a:extLst>
            <a:ext uri="{FF2B5EF4-FFF2-40B4-BE49-F238E27FC236}">
              <a16:creationId xmlns:a16="http://schemas.microsoft.com/office/drawing/2014/main" id="{64A00FA8-E3CD-4A9E-B04D-2D23D0F05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9" name="Picture 1" descr="ALMASHRI_0">
          <a:extLst>
            <a:ext uri="{FF2B5EF4-FFF2-40B4-BE49-F238E27FC236}">
              <a16:creationId xmlns:a16="http://schemas.microsoft.com/office/drawing/2014/main" id="{833FD5BD-572F-4E36-B2DA-EF6228C93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0" name="Picture 1" descr="ALMASHRI_0">
          <a:extLst>
            <a:ext uri="{FF2B5EF4-FFF2-40B4-BE49-F238E27FC236}">
              <a16:creationId xmlns:a16="http://schemas.microsoft.com/office/drawing/2014/main" id="{77280008-1EC1-43E5-BB56-85B55337C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1" name="Picture 1" descr="ALMASHRI_0">
          <a:extLst>
            <a:ext uri="{FF2B5EF4-FFF2-40B4-BE49-F238E27FC236}">
              <a16:creationId xmlns:a16="http://schemas.microsoft.com/office/drawing/2014/main" id="{D7C20678-8E9F-43FA-A8F9-635F469A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 name="Picture 1" descr="ALMASHRI_0">
          <a:extLst>
            <a:ext uri="{FF2B5EF4-FFF2-40B4-BE49-F238E27FC236}">
              <a16:creationId xmlns:a16="http://schemas.microsoft.com/office/drawing/2014/main" id="{2D4BCB41-9D4C-4B57-B021-4BDF3CC11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3" name="Picture 1" descr="ALMASHRI_0">
          <a:extLst>
            <a:ext uri="{FF2B5EF4-FFF2-40B4-BE49-F238E27FC236}">
              <a16:creationId xmlns:a16="http://schemas.microsoft.com/office/drawing/2014/main" id="{8A9AEB10-526B-4964-8D90-85AA78677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4" name="Picture 1" descr="ALMASHRI_0">
          <a:extLst>
            <a:ext uri="{FF2B5EF4-FFF2-40B4-BE49-F238E27FC236}">
              <a16:creationId xmlns:a16="http://schemas.microsoft.com/office/drawing/2014/main" id="{53584BA2-6C1E-45A3-9D76-DA7C87E7B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5" name="Picture 1" descr="ALMASHRI_0">
          <a:extLst>
            <a:ext uri="{FF2B5EF4-FFF2-40B4-BE49-F238E27FC236}">
              <a16:creationId xmlns:a16="http://schemas.microsoft.com/office/drawing/2014/main" id="{071406AF-9508-4C22-8114-74B029FE8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6" name="Picture 1" descr="ALMASHRI_0">
          <a:extLst>
            <a:ext uri="{FF2B5EF4-FFF2-40B4-BE49-F238E27FC236}">
              <a16:creationId xmlns:a16="http://schemas.microsoft.com/office/drawing/2014/main" id="{802DCADF-4AD1-45FB-83E8-CF0C54D026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7" name="Picture 1" descr="ALMASHRI_0">
          <a:extLst>
            <a:ext uri="{FF2B5EF4-FFF2-40B4-BE49-F238E27FC236}">
              <a16:creationId xmlns:a16="http://schemas.microsoft.com/office/drawing/2014/main" id="{9A2A0147-F975-41FD-9978-2C20A395C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 name="Picture 1" descr="ALMASHRI_0">
          <a:extLst>
            <a:ext uri="{FF2B5EF4-FFF2-40B4-BE49-F238E27FC236}">
              <a16:creationId xmlns:a16="http://schemas.microsoft.com/office/drawing/2014/main" id="{6A3E954F-E582-438A-9343-9D07FCF54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 name="Picture 1" descr="ALMASHRI_0">
          <a:extLst>
            <a:ext uri="{FF2B5EF4-FFF2-40B4-BE49-F238E27FC236}">
              <a16:creationId xmlns:a16="http://schemas.microsoft.com/office/drawing/2014/main" id="{6EA3E486-47B9-4E1A-AAB4-693B52310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 name="Picture 1" descr="ALMASHRI_0">
          <a:extLst>
            <a:ext uri="{FF2B5EF4-FFF2-40B4-BE49-F238E27FC236}">
              <a16:creationId xmlns:a16="http://schemas.microsoft.com/office/drawing/2014/main" id="{85B0F00F-0AA1-4E69-87EB-959DDA822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1" name="Picture 1" descr="ALMASHRI_0">
          <a:extLst>
            <a:ext uri="{FF2B5EF4-FFF2-40B4-BE49-F238E27FC236}">
              <a16:creationId xmlns:a16="http://schemas.microsoft.com/office/drawing/2014/main" id="{ADDCAF20-854B-4C1F-8CEB-C6F467D1A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2" name="Picture 1" descr="ALMASHRI_0">
          <a:extLst>
            <a:ext uri="{FF2B5EF4-FFF2-40B4-BE49-F238E27FC236}">
              <a16:creationId xmlns:a16="http://schemas.microsoft.com/office/drawing/2014/main" id="{5154E2E7-7494-4B47-A434-3A786D1E0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3" name="Picture 1" descr="ALMASHRI_0">
          <a:extLst>
            <a:ext uri="{FF2B5EF4-FFF2-40B4-BE49-F238E27FC236}">
              <a16:creationId xmlns:a16="http://schemas.microsoft.com/office/drawing/2014/main" id="{0BD506A9-16ED-4065-BA00-8956AB6FA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4" name="Picture 1" descr="ALMASHRI_0">
          <a:extLst>
            <a:ext uri="{FF2B5EF4-FFF2-40B4-BE49-F238E27FC236}">
              <a16:creationId xmlns:a16="http://schemas.microsoft.com/office/drawing/2014/main" id="{B958BFB3-1948-4021-A383-332B29DB6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5" name="Picture 1" descr="ALMASHRI_0">
          <a:extLst>
            <a:ext uri="{FF2B5EF4-FFF2-40B4-BE49-F238E27FC236}">
              <a16:creationId xmlns:a16="http://schemas.microsoft.com/office/drawing/2014/main" id="{3F45D8B9-59B4-4F24-B1D7-B0DC7C303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 name="Picture 1" descr="ALMASHRI_0">
          <a:extLst>
            <a:ext uri="{FF2B5EF4-FFF2-40B4-BE49-F238E27FC236}">
              <a16:creationId xmlns:a16="http://schemas.microsoft.com/office/drawing/2014/main" id="{144B2EBF-8279-4A33-9DE3-F821EB4EA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 name="Picture 1" descr="ALMASHRI_0">
          <a:extLst>
            <a:ext uri="{FF2B5EF4-FFF2-40B4-BE49-F238E27FC236}">
              <a16:creationId xmlns:a16="http://schemas.microsoft.com/office/drawing/2014/main" id="{8862F91C-1972-4858-8F53-ADBA629C2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8" name="Picture 1" descr="ALMASHRI_0">
          <a:extLst>
            <a:ext uri="{FF2B5EF4-FFF2-40B4-BE49-F238E27FC236}">
              <a16:creationId xmlns:a16="http://schemas.microsoft.com/office/drawing/2014/main" id="{ABDF137A-40E4-4F2F-8118-1C896AEC1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9" name="Picture 1" descr="ALMASHRI_0">
          <a:extLst>
            <a:ext uri="{FF2B5EF4-FFF2-40B4-BE49-F238E27FC236}">
              <a16:creationId xmlns:a16="http://schemas.microsoft.com/office/drawing/2014/main" id="{AA904BC9-6F36-496A-A68F-134646AE7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0" name="Picture 1" descr="ALMASHRI_0">
          <a:extLst>
            <a:ext uri="{FF2B5EF4-FFF2-40B4-BE49-F238E27FC236}">
              <a16:creationId xmlns:a16="http://schemas.microsoft.com/office/drawing/2014/main" id="{2420410C-51B1-49E4-BE36-0436E14C8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1" name="Picture 1" descr="ALMASHRI_0">
          <a:extLst>
            <a:ext uri="{FF2B5EF4-FFF2-40B4-BE49-F238E27FC236}">
              <a16:creationId xmlns:a16="http://schemas.microsoft.com/office/drawing/2014/main" id="{3C462535-CF43-4C32-8D3D-66299C40A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2" name="Picture 1" descr="ALMASHRI_0">
          <a:extLst>
            <a:ext uri="{FF2B5EF4-FFF2-40B4-BE49-F238E27FC236}">
              <a16:creationId xmlns:a16="http://schemas.microsoft.com/office/drawing/2014/main" id="{A1E1F655-268B-4E47-A140-380CF4ECB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 name="Picture 1" descr="ALMASHRI_0">
          <a:extLst>
            <a:ext uri="{FF2B5EF4-FFF2-40B4-BE49-F238E27FC236}">
              <a16:creationId xmlns:a16="http://schemas.microsoft.com/office/drawing/2014/main" id="{B0717FFD-5B98-46FB-865D-F8C1E1DCD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4" name="Picture 1" descr="ALMASHRI_0">
          <a:extLst>
            <a:ext uri="{FF2B5EF4-FFF2-40B4-BE49-F238E27FC236}">
              <a16:creationId xmlns:a16="http://schemas.microsoft.com/office/drawing/2014/main" id="{D7329754-2013-4824-8B54-9CFBBC178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5" name="Picture 1" descr="ALMASHRI_0">
          <a:extLst>
            <a:ext uri="{FF2B5EF4-FFF2-40B4-BE49-F238E27FC236}">
              <a16:creationId xmlns:a16="http://schemas.microsoft.com/office/drawing/2014/main" id="{F3BF1755-6F37-42D5-AA29-A44759DC1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66" name="Picture 1" descr="ALMASHRI_0">
          <a:extLst>
            <a:ext uri="{FF2B5EF4-FFF2-40B4-BE49-F238E27FC236}">
              <a16:creationId xmlns:a16="http://schemas.microsoft.com/office/drawing/2014/main" id="{CBCE25C5-9553-439F-B7E2-F30EB1143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67" name="Picture 1" descr="ALMASHRI_0">
          <a:extLst>
            <a:ext uri="{FF2B5EF4-FFF2-40B4-BE49-F238E27FC236}">
              <a16:creationId xmlns:a16="http://schemas.microsoft.com/office/drawing/2014/main" id="{100AA4E9-9AF2-4D4C-8D6C-5BEAB85CA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68" name="Picture 1" descr="ALMASHRI_0">
          <a:extLst>
            <a:ext uri="{FF2B5EF4-FFF2-40B4-BE49-F238E27FC236}">
              <a16:creationId xmlns:a16="http://schemas.microsoft.com/office/drawing/2014/main" id="{9400859A-F742-4A16-9355-F616A2D6A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69" name="Picture 1" descr="ALMASHRI_0">
          <a:extLst>
            <a:ext uri="{FF2B5EF4-FFF2-40B4-BE49-F238E27FC236}">
              <a16:creationId xmlns:a16="http://schemas.microsoft.com/office/drawing/2014/main" id="{CFCE9F0F-3662-4EFC-8088-5BB74AE41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0" name="Picture 1" descr="ALMASHRI_0">
          <a:extLst>
            <a:ext uri="{FF2B5EF4-FFF2-40B4-BE49-F238E27FC236}">
              <a16:creationId xmlns:a16="http://schemas.microsoft.com/office/drawing/2014/main" id="{A28CDEF5-37DD-494F-B60D-0C9942A1D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 name="Picture 1" descr="ALMASHRI_0">
          <a:extLst>
            <a:ext uri="{FF2B5EF4-FFF2-40B4-BE49-F238E27FC236}">
              <a16:creationId xmlns:a16="http://schemas.microsoft.com/office/drawing/2014/main" id="{74197C89-862B-4421-969C-DD6C464ED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2" name="Picture 1" descr="ALMASHRI_0">
          <a:extLst>
            <a:ext uri="{FF2B5EF4-FFF2-40B4-BE49-F238E27FC236}">
              <a16:creationId xmlns:a16="http://schemas.microsoft.com/office/drawing/2014/main" id="{EED11564-E798-49A2-8B96-3BB859BC7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3" name="Picture 1" descr="ALMASHRI_0">
          <a:extLst>
            <a:ext uri="{FF2B5EF4-FFF2-40B4-BE49-F238E27FC236}">
              <a16:creationId xmlns:a16="http://schemas.microsoft.com/office/drawing/2014/main" id="{7C664363-2E9E-4654-845A-4CF2A570E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4" name="Picture 1" descr="ALMASHRI_0">
          <a:extLst>
            <a:ext uri="{FF2B5EF4-FFF2-40B4-BE49-F238E27FC236}">
              <a16:creationId xmlns:a16="http://schemas.microsoft.com/office/drawing/2014/main" id="{A3710EA1-0B33-48CF-9E57-76DE80C80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5" name="Picture 1" descr="ALMASHRI_0">
          <a:extLst>
            <a:ext uri="{FF2B5EF4-FFF2-40B4-BE49-F238E27FC236}">
              <a16:creationId xmlns:a16="http://schemas.microsoft.com/office/drawing/2014/main" id="{A412815E-13F0-4F1E-9A2F-BC32C0624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6" name="Picture 1" descr="ALMASHRI_0">
          <a:extLst>
            <a:ext uri="{FF2B5EF4-FFF2-40B4-BE49-F238E27FC236}">
              <a16:creationId xmlns:a16="http://schemas.microsoft.com/office/drawing/2014/main" id="{6944A246-C9CA-4B53-8F48-A7CB6DE31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7" name="Picture 1" descr="ALMASHRI_0">
          <a:extLst>
            <a:ext uri="{FF2B5EF4-FFF2-40B4-BE49-F238E27FC236}">
              <a16:creationId xmlns:a16="http://schemas.microsoft.com/office/drawing/2014/main" id="{BA20412B-F801-4C95-B114-3A30DF169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8" name="Picture 1" descr="ALMASHRI_0">
          <a:extLst>
            <a:ext uri="{FF2B5EF4-FFF2-40B4-BE49-F238E27FC236}">
              <a16:creationId xmlns:a16="http://schemas.microsoft.com/office/drawing/2014/main" id="{9DB4CE63-8269-4887-8ED4-C6F9D4ACA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9" name="Picture 1" descr="ALMASHRI_0">
          <a:extLst>
            <a:ext uri="{FF2B5EF4-FFF2-40B4-BE49-F238E27FC236}">
              <a16:creationId xmlns:a16="http://schemas.microsoft.com/office/drawing/2014/main" id="{48949D1B-75E5-4ADD-921B-B5FE42B01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0" name="Picture 1" descr="ALMASHRI_0">
          <a:extLst>
            <a:ext uri="{FF2B5EF4-FFF2-40B4-BE49-F238E27FC236}">
              <a16:creationId xmlns:a16="http://schemas.microsoft.com/office/drawing/2014/main" id="{134B8F10-9B6E-4D1F-B74E-E56129018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1" name="Picture 1" descr="ALMASHRI_0">
          <a:extLst>
            <a:ext uri="{FF2B5EF4-FFF2-40B4-BE49-F238E27FC236}">
              <a16:creationId xmlns:a16="http://schemas.microsoft.com/office/drawing/2014/main" id="{5F693002-6270-47F9-BC14-DA6F01996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2" name="Picture 1" descr="ALMASHRI_0">
          <a:extLst>
            <a:ext uri="{FF2B5EF4-FFF2-40B4-BE49-F238E27FC236}">
              <a16:creationId xmlns:a16="http://schemas.microsoft.com/office/drawing/2014/main" id="{421D63BA-F28F-41C3-A1F1-8B10BE9B2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3" name="Picture 1" descr="ALMASHRI_0">
          <a:extLst>
            <a:ext uri="{FF2B5EF4-FFF2-40B4-BE49-F238E27FC236}">
              <a16:creationId xmlns:a16="http://schemas.microsoft.com/office/drawing/2014/main" id="{972BE6D1-D51A-4948-A43B-6A06700ED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4" name="Picture 1" descr="ALMASHRI_0">
          <a:extLst>
            <a:ext uri="{FF2B5EF4-FFF2-40B4-BE49-F238E27FC236}">
              <a16:creationId xmlns:a16="http://schemas.microsoft.com/office/drawing/2014/main" id="{57A1C087-C990-4B86-A821-5CDFA55B4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 name="Picture 1" descr="ALMASHRI_0">
          <a:extLst>
            <a:ext uri="{FF2B5EF4-FFF2-40B4-BE49-F238E27FC236}">
              <a16:creationId xmlns:a16="http://schemas.microsoft.com/office/drawing/2014/main" id="{65562C79-AA37-4198-8522-98CC23102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6" name="Picture 1" descr="ALMASHRI_0">
          <a:extLst>
            <a:ext uri="{FF2B5EF4-FFF2-40B4-BE49-F238E27FC236}">
              <a16:creationId xmlns:a16="http://schemas.microsoft.com/office/drawing/2014/main" id="{C140AED4-54C0-426D-8256-DB50B42DD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7" name="Picture 1" descr="ALMASHRI_0">
          <a:extLst>
            <a:ext uri="{FF2B5EF4-FFF2-40B4-BE49-F238E27FC236}">
              <a16:creationId xmlns:a16="http://schemas.microsoft.com/office/drawing/2014/main" id="{8897032B-1308-49BE-8277-9D875148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8" name="Picture 1" descr="ALMASHRI_0">
          <a:extLst>
            <a:ext uri="{FF2B5EF4-FFF2-40B4-BE49-F238E27FC236}">
              <a16:creationId xmlns:a16="http://schemas.microsoft.com/office/drawing/2014/main" id="{10AD1A02-3C00-4230-92CC-105867F42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9" name="Picture 1" descr="ALMASHRI_0">
          <a:extLst>
            <a:ext uri="{FF2B5EF4-FFF2-40B4-BE49-F238E27FC236}">
              <a16:creationId xmlns:a16="http://schemas.microsoft.com/office/drawing/2014/main" id="{44DECC95-540B-44AF-AC93-625391E80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0" name="Picture 1" descr="ALMASHRI_0">
          <a:extLst>
            <a:ext uri="{FF2B5EF4-FFF2-40B4-BE49-F238E27FC236}">
              <a16:creationId xmlns:a16="http://schemas.microsoft.com/office/drawing/2014/main" id="{C399CB99-C93F-439B-B68E-B35F9DD5F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1" name="Picture 1" descr="ALMASHRI_0">
          <a:extLst>
            <a:ext uri="{FF2B5EF4-FFF2-40B4-BE49-F238E27FC236}">
              <a16:creationId xmlns:a16="http://schemas.microsoft.com/office/drawing/2014/main" id="{56716030-A519-41DF-A046-29E2518A4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2" name="Picture 1" descr="ALMASHRI_0">
          <a:extLst>
            <a:ext uri="{FF2B5EF4-FFF2-40B4-BE49-F238E27FC236}">
              <a16:creationId xmlns:a16="http://schemas.microsoft.com/office/drawing/2014/main" id="{B0ACF4E9-1A73-47BD-8869-1D8F02C2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3" name="Picture 1" descr="ALMASHRI_0">
          <a:extLst>
            <a:ext uri="{FF2B5EF4-FFF2-40B4-BE49-F238E27FC236}">
              <a16:creationId xmlns:a16="http://schemas.microsoft.com/office/drawing/2014/main" id="{430A0F5B-E72E-4155-96B3-B0C06AEF2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4" name="Picture 1" descr="ALMASHRI_0">
          <a:extLst>
            <a:ext uri="{FF2B5EF4-FFF2-40B4-BE49-F238E27FC236}">
              <a16:creationId xmlns:a16="http://schemas.microsoft.com/office/drawing/2014/main" id="{9B059E02-71E3-4809-8183-6313D9986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5" name="Picture 1" descr="ALMASHRI_0">
          <a:extLst>
            <a:ext uri="{FF2B5EF4-FFF2-40B4-BE49-F238E27FC236}">
              <a16:creationId xmlns:a16="http://schemas.microsoft.com/office/drawing/2014/main" id="{ECFDA2DC-BBBB-40EC-9FB9-8AB4760D4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6" name="Picture 1" descr="ALMASHRI_0">
          <a:extLst>
            <a:ext uri="{FF2B5EF4-FFF2-40B4-BE49-F238E27FC236}">
              <a16:creationId xmlns:a16="http://schemas.microsoft.com/office/drawing/2014/main" id="{5B6871B8-C5EC-41F1-961C-3C5355D2E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7" name="Picture 1" descr="ALMASHRI_0">
          <a:extLst>
            <a:ext uri="{FF2B5EF4-FFF2-40B4-BE49-F238E27FC236}">
              <a16:creationId xmlns:a16="http://schemas.microsoft.com/office/drawing/2014/main" id="{C3511483-B956-4C70-BEDE-8E8E389C2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8" name="Picture 1" descr="ALMASHRI_0">
          <a:extLst>
            <a:ext uri="{FF2B5EF4-FFF2-40B4-BE49-F238E27FC236}">
              <a16:creationId xmlns:a16="http://schemas.microsoft.com/office/drawing/2014/main" id="{021FC673-7666-4EA7-B83A-87F6AE40A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9" name="Picture 1" descr="ALMASHRI_0">
          <a:extLst>
            <a:ext uri="{FF2B5EF4-FFF2-40B4-BE49-F238E27FC236}">
              <a16:creationId xmlns:a16="http://schemas.microsoft.com/office/drawing/2014/main" id="{C0E25627-DD93-479C-BADE-2783EED35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 name="Picture 1" descr="ALMASHRI_0">
          <a:extLst>
            <a:ext uri="{FF2B5EF4-FFF2-40B4-BE49-F238E27FC236}">
              <a16:creationId xmlns:a16="http://schemas.microsoft.com/office/drawing/2014/main" id="{6673812C-73DE-4E36-A784-1BA9D82C2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1" name="Picture 1" descr="ALMASHRI_0">
          <a:extLst>
            <a:ext uri="{FF2B5EF4-FFF2-40B4-BE49-F238E27FC236}">
              <a16:creationId xmlns:a16="http://schemas.microsoft.com/office/drawing/2014/main" id="{2E9907FE-72BA-46ED-A5FE-686EE7C55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2" name="Picture 1" descr="ALMASHRI_0">
          <a:extLst>
            <a:ext uri="{FF2B5EF4-FFF2-40B4-BE49-F238E27FC236}">
              <a16:creationId xmlns:a16="http://schemas.microsoft.com/office/drawing/2014/main" id="{81955BE6-45E5-4D9A-8BE3-BDF2C328D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3" name="Picture 1" descr="ALMASHRI_0">
          <a:extLst>
            <a:ext uri="{FF2B5EF4-FFF2-40B4-BE49-F238E27FC236}">
              <a16:creationId xmlns:a16="http://schemas.microsoft.com/office/drawing/2014/main" id="{194D804C-1E14-426C-A741-A93311D13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4" name="Picture 1" descr="ALMASHRI_0">
          <a:extLst>
            <a:ext uri="{FF2B5EF4-FFF2-40B4-BE49-F238E27FC236}">
              <a16:creationId xmlns:a16="http://schemas.microsoft.com/office/drawing/2014/main" id="{E641E5E7-D336-4097-922E-6644A9359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5" name="Picture 1" descr="ALMASHRI_0">
          <a:extLst>
            <a:ext uri="{FF2B5EF4-FFF2-40B4-BE49-F238E27FC236}">
              <a16:creationId xmlns:a16="http://schemas.microsoft.com/office/drawing/2014/main" id="{FBA457CF-DC6D-4B5E-A2F4-6D9114DC4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6" name="Picture 1" descr="ALMASHRI_0">
          <a:extLst>
            <a:ext uri="{FF2B5EF4-FFF2-40B4-BE49-F238E27FC236}">
              <a16:creationId xmlns:a16="http://schemas.microsoft.com/office/drawing/2014/main" id="{72A8F7E4-BAD4-4ECA-80F0-3DF86DB89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7" name="Picture 1" descr="ALMASHRI_0">
          <a:extLst>
            <a:ext uri="{FF2B5EF4-FFF2-40B4-BE49-F238E27FC236}">
              <a16:creationId xmlns:a16="http://schemas.microsoft.com/office/drawing/2014/main" id="{FDFA43FE-3AB4-4590-9396-A5E82E29D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8" name="Picture 1" descr="ALMASHRI_0">
          <a:extLst>
            <a:ext uri="{FF2B5EF4-FFF2-40B4-BE49-F238E27FC236}">
              <a16:creationId xmlns:a16="http://schemas.microsoft.com/office/drawing/2014/main" id="{A1DBB944-60E1-47C5-8B51-43A4B4878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9" name="Picture 1" descr="ALMASHRI_0">
          <a:extLst>
            <a:ext uri="{FF2B5EF4-FFF2-40B4-BE49-F238E27FC236}">
              <a16:creationId xmlns:a16="http://schemas.microsoft.com/office/drawing/2014/main" id="{C8C774C7-1FA2-4C0D-AC61-1A68D6EC0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10" name="Picture 1" descr="ALMASHRI_0">
          <a:extLst>
            <a:ext uri="{FF2B5EF4-FFF2-40B4-BE49-F238E27FC236}">
              <a16:creationId xmlns:a16="http://schemas.microsoft.com/office/drawing/2014/main" id="{6FEED871-107C-4ED6-BFE9-8411B7ACB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11" name="Picture 1" descr="ALMASHRI_0">
          <a:extLst>
            <a:ext uri="{FF2B5EF4-FFF2-40B4-BE49-F238E27FC236}">
              <a16:creationId xmlns:a16="http://schemas.microsoft.com/office/drawing/2014/main" id="{E15AA0A7-65FF-4056-9A00-CBCCCD82A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12" name="Picture 1" descr="ALMASHRI_0">
          <a:extLst>
            <a:ext uri="{FF2B5EF4-FFF2-40B4-BE49-F238E27FC236}">
              <a16:creationId xmlns:a16="http://schemas.microsoft.com/office/drawing/2014/main" id="{B27C6519-F4FC-4360-A626-83DEE53AE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13" name="Picture 1" descr="ALMASHRI_0">
          <a:extLst>
            <a:ext uri="{FF2B5EF4-FFF2-40B4-BE49-F238E27FC236}">
              <a16:creationId xmlns:a16="http://schemas.microsoft.com/office/drawing/2014/main" id="{1414DC90-CA93-4CED-BA53-E62EF6D62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14" name="Picture 1" descr="ALMASHRI_0">
          <a:extLst>
            <a:ext uri="{FF2B5EF4-FFF2-40B4-BE49-F238E27FC236}">
              <a16:creationId xmlns:a16="http://schemas.microsoft.com/office/drawing/2014/main" id="{2ADD9535-51E5-4B82-86BC-754FF4249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15" name="Picture 1" descr="ALMASHRI_0">
          <a:extLst>
            <a:ext uri="{FF2B5EF4-FFF2-40B4-BE49-F238E27FC236}">
              <a16:creationId xmlns:a16="http://schemas.microsoft.com/office/drawing/2014/main" id="{FA4ACEE9-2983-4D14-B798-7DA3FA101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16" name="Picture 1" descr="ALMASHRI_0">
          <a:extLst>
            <a:ext uri="{FF2B5EF4-FFF2-40B4-BE49-F238E27FC236}">
              <a16:creationId xmlns:a16="http://schemas.microsoft.com/office/drawing/2014/main" id="{E536CB7C-CE78-4867-80B1-3749F40DE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17" name="Picture 1" descr="ALMASHRI_0">
          <a:extLst>
            <a:ext uri="{FF2B5EF4-FFF2-40B4-BE49-F238E27FC236}">
              <a16:creationId xmlns:a16="http://schemas.microsoft.com/office/drawing/2014/main" id="{C42A2464-6D52-4C3B-A975-38848666B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18" name="Picture 1" descr="ALMASHRI_0">
          <a:extLst>
            <a:ext uri="{FF2B5EF4-FFF2-40B4-BE49-F238E27FC236}">
              <a16:creationId xmlns:a16="http://schemas.microsoft.com/office/drawing/2014/main" id="{959721B0-0354-4BC9-BAFB-E8C1E3527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19" name="Picture 1" descr="ALMASHRI_0">
          <a:extLst>
            <a:ext uri="{FF2B5EF4-FFF2-40B4-BE49-F238E27FC236}">
              <a16:creationId xmlns:a16="http://schemas.microsoft.com/office/drawing/2014/main" id="{A7825DDF-694A-4CFD-B4A0-CCD82411F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0" name="Picture 1" descr="ALMASHRI_0">
          <a:extLst>
            <a:ext uri="{FF2B5EF4-FFF2-40B4-BE49-F238E27FC236}">
              <a16:creationId xmlns:a16="http://schemas.microsoft.com/office/drawing/2014/main" id="{813FD955-BC06-4D53-B13A-D45E43A57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1" name="Picture 1" descr="ALMASHRI_0">
          <a:extLst>
            <a:ext uri="{FF2B5EF4-FFF2-40B4-BE49-F238E27FC236}">
              <a16:creationId xmlns:a16="http://schemas.microsoft.com/office/drawing/2014/main" id="{8F111BFB-D19B-4974-9D5D-A407D7996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2" name="Picture 1" descr="ALMASHRI_0">
          <a:extLst>
            <a:ext uri="{FF2B5EF4-FFF2-40B4-BE49-F238E27FC236}">
              <a16:creationId xmlns:a16="http://schemas.microsoft.com/office/drawing/2014/main" id="{2CC60418-1248-4DCB-A570-1FEEE5F0E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3" name="Picture 1" descr="ALMASHRI_0">
          <a:extLst>
            <a:ext uri="{FF2B5EF4-FFF2-40B4-BE49-F238E27FC236}">
              <a16:creationId xmlns:a16="http://schemas.microsoft.com/office/drawing/2014/main" id="{A8965BC2-0E1B-41DF-97D6-94EA709B8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4" name="Picture 1" descr="ALMASHRI_0">
          <a:extLst>
            <a:ext uri="{FF2B5EF4-FFF2-40B4-BE49-F238E27FC236}">
              <a16:creationId xmlns:a16="http://schemas.microsoft.com/office/drawing/2014/main" id="{90DEBDA9-17FC-49EA-98D9-5ED8B47A8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5" name="Picture 1" descr="ALMASHRI_0">
          <a:extLst>
            <a:ext uri="{FF2B5EF4-FFF2-40B4-BE49-F238E27FC236}">
              <a16:creationId xmlns:a16="http://schemas.microsoft.com/office/drawing/2014/main" id="{FA106842-162D-4F5A-A20C-6D3D2D1A4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6" name="Picture 1" descr="ALMASHRI_0">
          <a:extLst>
            <a:ext uri="{FF2B5EF4-FFF2-40B4-BE49-F238E27FC236}">
              <a16:creationId xmlns:a16="http://schemas.microsoft.com/office/drawing/2014/main" id="{27D219C5-7079-4D99-B6FC-756457E42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7" name="Picture 1" descr="ALMASHRI_0">
          <a:extLst>
            <a:ext uri="{FF2B5EF4-FFF2-40B4-BE49-F238E27FC236}">
              <a16:creationId xmlns:a16="http://schemas.microsoft.com/office/drawing/2014/main" id="{C82C2CD1-0DC0-4F7B-BF47-299C371EA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8" name="Picture 1" descr="ALMASHRI_0">
          <a:extLst>
            <a:ext uri="{FF2B5EF4-FFF2-40B4-BE49-F238E27FC236}">
              <a16:creationId xmlns:a16="http://schemas.microsoft.com/office/drawing/2014/main" id="{CB32A492-AE24-44AA-AC12-34FF0256A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29" name="Picture 1" descr="ALMASHRI_0">
          <a:extLst>
            <a:ext uri="{FF2B5EF4-FFF2-40B4-BE49-F238E27FC236}">
              <a16:creationId xmlns:a16="http://schemas.microsoft.com/office/drawing/2014/main" id="{FDABFA7E-D91F-4488-B875-FA65A4B5A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0" name="Picture 1" descr="ALMASHRI_0">
          <a:extLst>
            <a:ext uri="{FF2B5EF4-FFF2-40B4-BE49-F238E27FC236}">
              <a16:creationId xmlns:a16="http://schemas.microsoft.com/office/drawing/2014/main" id="{57E36BC7-DD25-4317-9292-D058C22FF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1" name="Picture 1" descr="ALMASHRI_0">
          <a:extLst>
            <a:ext uri="{FF2B5EF4-FFF2-40B4-BE49-F238E27FC236}">
              <a16:creationId xmlns:a16="http://schemas.microsoft.com/office/drawing/2014/main" id="{5DE2B267-5608-4484-98A6-964D65AFB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2" name="Picture 1" descr="ALMASHRI_0">
          <a:extLst>
            <a:ext uri="{FF2B5EF4-FFF2-40B4-BE49-F238E27FC236}">
              <a16:creationId xmlns:a16="http://schemas.microsoft.com/office/drawing/2014/main" id="{37F53300-AC50-480B-BBBB-7DCEC98B0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3" name="Picture 1" descr="ALMASHRI_0">
          <a:extLst>
            <a:ext uri="{FF2B5EF4-FFF2-40B4-BE49-F238E27FC236}">
              <a16:creationId xmlns:a16="http://schemas.microsoft.com/office/drawing/2014/main" id="{D15AC567-5EFB-454E-8C18-B3EB0235D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4" name="Picture 1" descr="ALMASHRI_0">
          <a:extLst>
            <a:ext uri="{FF2B5EF4-FFF2-40B4-BE49-F238E27FC236}">
              <a16:creationId xmlns:a16="http://schemas.microsoft.com/office/drawing/2014/main" id="{01422D76-4073-4276-B646-5F7391D0C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5" name="Picture 1" descr="ALMASHRI_0">
          <a:extLst>
            <a:ext uri="{FF2B5EF4-FFF2-40B4-BE49-F238E27FC236}">
              <a16:creationId xmlns:a16="http://schemas.microsoft.com/office/drawing/2014/main" id="{24229695-7477-4D51-AEFD-10C4A03A6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6" name="Picture 1" descr="ALMASHRI_0">
          <a:extLst>
            <a:ext uri="{FF2B5EF4-FFF2-40B4-BE49-F238E27FC236}">
              <a16:creationId xmlns:a16="http://schemas.microsoft.com/office/drawing/2014/main" id="{9AF7BE2A-0959-4095-94B2-5F80E2ABE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7" name="Picture 1" descr="ALMASHRI_0">
          <a:extLst>
            <a:ext uri="{FF2B5EF4-FFF2-40B4-BE49-F238E27FC236}">
              <a16:creationId xmlns:a16="http://schemas.microsoft.com/office/drawing/2014/main" id="{DF28A71B-0613-4C1F-8FE9-44FFF0B42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8" name="Picture 1" descr="ALMASHRI_0">
          <a:extLst>
            <a:ext uri="{FF2B5EF4-FFF2-40B4-BE49-F238E27FC236}">
              <a16:creationId xmlns:a16="http://schemas.microsoft.com/office/drawing/2014/main" id="{935AD630-1570-480B-B0E6-DB33D1253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39" name="Picture 1" descr="ALMASHRI_0">
          <a:extLst>
            <a:ext uri="{FF2B5EF4-FFF2-40B4-BE49-F238E27FC236}">
              <a16:creationId xmlns:a16="http://schemas.microsoft.com/office/drawing/2014/main" id="{85B02432-B9D4-437E-9AD4-635846E3C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40" name="Picture 1" descr="ALMASHRI_0">
          <a:extLst>
            <a:ext uri="{FF2B5EF4-FFF2-40B4-BE49-F238E27FC236}">
              <a16:creationId xmlns:a16="http://schemas.microsoft.com/office/drawing/2014/main" id="{CC2A9A22-3461-416E-87C9-E589DFFE3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41" name="Picture 1" descr="ALMASHRI_0">
          <a:extLst>
            <a:ext uri="{FF2B5EF4-FFF2-40B4-BE49-F238E27FC236}">
              <a16:creationId xmlns:a16="http://schemas.microsoft.com/office/drawing/2014/main" id="{CCF6F121-434B-40C4-A1F7-CB2D8242F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42" name="Picture 1" descr="ALMASHRI_0">
          <a:extLst>
            <a:ext uri="{FF2B5EF4-FFF2-40B4-BE49-F238E27FC236}">
              <a16:creationId xmlns:a16="http://schemas.microsoft.com/office/drawing/2014/main" id="{E2B0E3FD-1DA9-4123-93C6-B10B1F866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43" name="Picture 1" descr="ALMASHRI_0">
          <a:extLst>
            <a:ext uri="{FF2B5EF4-FFF2-40B4-BE49-F238E27FC236}">
              <a16:creationId xmlns:a16="http://schemas.microsoft.com/office/drawing/2014/main" id="{9B8EBB7F-BDB9-4CC5-B160-355FDB39C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44" name="Picture 1" descr="ALMASHRI_0">
          <a:extLst>
            <a:ext uri="{FF2B5EF4-FFF2-40B4-BE49-F238E27FC236}">
              <a16:creationId xmlns:a16="http://schemas.microsoft.com/office/drawing/2014/main" id="{4C6456CD-D28B-4665-88F8-71785417A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145" name="Picture 1" descr="ALMASHRI_0">
          <a:extLst>
            <a:ext uri="{FF2B5EF4-FFF2-40B4-BE49-F238E27FC236}">
              <a16:creationId xmlns:a16="http://schemas.microsoft.com/office/drawing/2014/main" id="{611F68C2-2F2C-4722-9A1D-A02C32F61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46" name="Picture 1" descr="ALMASHRI_0">
          <a:extLst>
            <a:ext uri="{FF2B5EF4-FFF2-40B4-BE49-F238E27FC236}">
              <a16:creationId xmlns:a16="http://schemas.microsoft.com/office/drawing/2014/main" id="{3E9EAE2E-983D-4337-9BDB-0B2EAF5FB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47" name="Picture 1" descr="ALMASHRI_0">
          <a:extLst>
            <a:ext uri="{FF2B5EF4-FFF2-40B4-BE49-F238E27FC236}">
              <a16:creationId xmlns:a16="http://schemas.microsoft.com/office/drawing/2014/main" id="{37A0F797-3B02-4A72-A870-E7C42E57C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48" name="Picture 1" descr="ALMASHRI_0">
          <a:extLst>
            <a:ext uri="{FF2B5EF4-FFF2-40B4-BE49-F238E27FC236}">
              <a16:creationId xmlns:a16="http://schemas.microsoft.com/office/drawing/2014/main" id="{5D48AA44-EA1B-410D-B336-C09E152D7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49" name="Picture 1" descr="ALMASHRI_0">
          <a:extLst>
            <a:ext uri="{FF2B5EF4-FFF2-40B4-BE49-F238E27FC236}">
              <a16:creationId xmlns:a16="http://schemas.microsoft.com/office/drawing/2014/main" id="{7B420AC1-9BC9-4C48-BE4C-4E0FCC816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0" name="Picture 1" descr="ALMASHRI_0">
          <a:extLst>
            <a:ext uri="{FF2B5EF4-FFF2-40B4-BE49-F238E27FC236}">
              <a16:creationId xmlns:a16="http://schemas.microsoft.com/office/drawing/2014/main" id="{DDD930A8-32C3-481E-9048-6C8D620A3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1" name="Picture 1" descr="ALMASHRI_0">
          <a:extLst>
            <a:ext uri="{FF2B5EF4-FFF2-40B4-BE49-F238E27FC236}">
              <a16:creationId xmlns:a16="http://schemas.microsoft.com/office/drawing/2014/main" id="{A202CCF9-1F02-44A0-85C6-F96587F67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2" name="Picture 1" descr="ALMASHRI_0">
          <a:extLst>
            <a:ext uri="{FF2B5EF4-FFF2-40B4-BE49-F238E27FC236}">
              <a16:creationId xmlns:a16="http://schemas.microsoft.com/office/drawing/2014/main" id="{0FF1E106-32C8-4503-9870-CD200A475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3" name="Picture 1" descr="ALMASHRI_0">
          <a:extLst>
            <a:ext uri="{FF2B5EF4-FFF2-40B4-BE49-F238E27FC236}">
              <a16:creationId xmlns:a16="http://schemas.microsoft.com/office/drawing/2014/main" id="{7A9E7B45-4778-41E6-804C-05ACA5CDE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4" name="Picture 1" descr="ALMASHRI_0">
          <a:extLst>
            <a:ext uri="{FF2B5EF4-FFF2-40B4-BE49-F238E27FC236}">
              <a16:creationId xmlns:a16="http://schemas.microsoft.com/office/drawing/2014/main" id="{08E32338-2817-4CA1-9E87-C75196B21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5" name="Picture 1" descr="ALMASHRI_0">
          <a:extLst>
            <a:ext uri="{FF2B5EF4-FFF2-40B4-BE49-F238E27FC236}">
              <a16:creationId xmlns:a16="http://schemas.microsoft.com/office/drawing/2014/main" id="{CFA13155-A749-46F9-A7BC-BC69B5D1E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6" name="Picture 1" descr="ALMASHRI_0">
          <a:extLst>
            <a:ext uri="{FF2B5EF4-FFF2-40B4-BE49-F238E27FC236}">
              <a16:creationId xmlns:a16="http://schemas.microsoft.com/office/drawing/2014/main" id="{F7561F85-75D5-4E80-AA0C-31A90C4FA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7" name="Picture 1" descr="ALMASHRI_0">
          <a:extLst>
            <a:ext uri="{FF2B5EF4-FFF2-40B4-BE49-F238E27FC236}">
              <a16:creationId xmlns:a16="http://schemas.microsoft.com/office/drawing/2014/main" id="{28BD2F89-C79D-4B8D-89CF-EEE5AF0A9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8" name="Picture 1" descr="ALMASHRI_0">
          <a:extLst>
            <a:ext uri="{FF2B5EF4-FFF2-40B4-BE49-F238E27FC236}">
              <a16:creationId xmlns:a16="http://schemas.microsoft.com/office/drawing/2014/main" id="{AC38D553-2F01-454B-B6FC-17910D9CF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59" name="Picture 1" descr="ALMASHRI_0">
          <a:extLst>
            <a:ext uri="{FF2B5EF4-FFF2-40B4-BE49-F238E27FC236}">
              <a16:creationId xmlns:a16="http://schemas.microsoft.com/office/drawing/2014/main" id="{6D67E2EE-0C3D-4104-B222-7251FA9E5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60" name="Picture 1" descr="ALMASHRI_0">
          <a:extLst>
            <a:ext uri="{FF2B5EF4-FFF2-40B4-BE49-F238E27FC236}">
              <a16:creationId xmlns:a16="http://schemas.microsoft.com/office/drawing/2014/main" id="{38C78DA1-F482-4762-BF5C-9F1278504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161" name="Picture 1" descr="ALMASHRI_0">
          <a:extLst>
            <a:ext uri="{FF2B5EF4-FFF2-40B4-BE49-F238E27FC236}">
              <a16:creationId xmlns:a16="http://schemas.microsoft.com/office/drawing/2014/main" id="{655D1274-9C0C-40E9-B65D-31E69EE64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62" name="Picture 1" descr="ALMASHRI_0">
          <a:extLst>
            <a:ext uri="{FF2B5EF4-FFF2-40B4-BE49-F238E27FC236}">
              <a16:creationId xmlns:a16="http://schemas.microsoft.com/office/drawing/2014/main" id="{48C7E96E-07EE-46AD-8D50-0C243FC25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63" name="Picture 1" descr="ALMASHRI_0">
          <a:extLst>
            <a:ext uri="{FF2B5EF4-FFF2-40B4-BE49-F238E27FC236}">
              <a16:creationId xmlns:a16="http://schemas.microsoft.com/office/drawing/2014/main" id="{EAD4E41B-A208-4D82-BC93-CA4E3F9B8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64" name="Picture 1" descr="ALMASHRI_0">
          <a:extLst>
            <a:ext uri="{FF2B5EF4-FFF2-40B4-BE49-F238E27FC236}">
              <a16:creationId xmlns:a16="http://schemas.microsoft.com/office/drawing/2014/main" id="{3F1068C7-012D-4CDE-AB77-5707D0955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65" name="Picture 1" descr="ALMASHRI_0">
          <a:extLst>
            <a:ext uri="{FF2B5EF4-FFF2-40B4-BE49-F238E27FC236}">
              <a16:creationId xmlns:a16="http://schemas.microsoft.com/office/drawing/2014/main" id="{0E6B9E5F-A267-43BC-BE15-71B59B618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66" name="Picture 1" descr="ALMASHRI_0">
          <a:extLst>
            <a:ext uri="{FF2B5EF4-FFF2-40B4-BE49-F238E27FC236}">
              <a16:creationId xmlns:a16="http://schemas.microsoft.com/office/drawing/2014/main" id="{BD0FD77F-E18A-4801-9337-8D05D5489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67" name="Picture 1" descr="ALMASHRI_0">
          <a:extLst>
            <a:ext uri="{FF2B5EF4-FFF2-40B4-BE49-F238E27FC236}">
              <a16:creationId xmlns:a16="http://schemas.microsoft.com/office/drawing/2014/main" id="{A69042B7-226F-484D-9742-52E931287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68" name="Picture 1" descr="ALMASHRI_0">
          <a:extLst>
            <a:ext uri="{FF2B5EF4-FFF2-40B4-BE49-F238E27FC236}">
              <a16:creationId xmlns:a16="http://schemas.microsoft.com/office/drawing/2014/main" id="{CE1D9D82-311A-415E-8B19-768E89822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69" name="Picture 1" descr="ALMASHRI_0">
          <a:extLst>
            <a:ext uri="{FF2B5EF4-FFF2-40B4-BE49-F238E27FC236}">
              <a16:creationId xmlns:a16="http://schemas.microsoft.com/office/drawing/2014/main" id="{BB463159-E732-46F8-B5D4-61E5DE686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70" name="Picture 1" descr="ALMASHRI_0">
          <a:extLst>
            <a:ext uri="{FF2B5EF4-FFF2-40B4-BE49-F238E27FC236}">
              <a16:creationId xmlns:a16="http://schemas.microsoft.com/office/drawing/2014/main" id="{8EDB9A65-001D-4EE2-A8A7-7D1A075DE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71" name="Picture 1" descr="ALMASHRI_0">
          <a:extLst>
            <a:ext uri="{FF2B5EF4-FFF2-40B4-BE49-F238E27FC236}">
              <a16:creationId xmlns:a16="http://schemas.microsoft.com/office/drawing/2014/main" id="{127A6C60-A034-4073-BF4E-FFCB5474D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72" name="Picture 1" descr="ALMASHRI_0">
          <a:extLst>
            <a:ext uri="{FF2B5EF4-FFF2-40B4-BE49-F238E27FC236}">
              <a16:creationId xmlns:a16="http://schemas.microsoft.com/office/drawing/2014/main" id="{574471D8-E2B0-4870-A2A6-8D2715648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73" name="Picture 1" descr="ALMASHRI_0">
          <a:extLst>
            <a:ext uri="{FF2B5EF4-FFF2-40B4-BE49-F238E27FC236}">
              <a16:creationId xmlns:a16="http://schemas.microsoft.com/office/drawing/2014/main" id="{8EFE7914-4E43-44E8-BB80-9C4D4B306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74" name="Picture 1" descr="ALMASHRI_0">
          <a:extLst>
            <a:ext uri="{FF2B5EF4-FFF2-40B4-BE49-F238E27FC236}">
              <a16:creationId xmlns:a16="http://schemas.microsoft.com/office/drawing/2014/main" id="{720E1B27-3108-4C92-BCB6-5BA2BE710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75" name="Picture 1" descr="ALMASHRI_0">
          <a:extLst>
            <a:ext uri="{FF2B5EF4-FFF2-40B4-BE49-F238E27FC236}">
              <a16:creationId xmlns:a16="http://schemas.microsoft.com/office/drawing/2014/main" id="{FBE86457-5C5B-40CD-B50D-338E50DD9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76" name="Picture 1" descr="ALMASHRI_0">
          <a:extLst>
            <a:ext uri="{FF2B5EF4-FFF2-40B4-BE49-F238E27FC236}">
              <a16:creationId xmlns:a16="http://schemas.microsoft.com/office/drawing/2014/main" id="{05165342-A36D-4F19-A366-C58FC2A43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77" name="Picture 1" descr="ALMASHRI_0">
          <a:extLst>
            <a:ext uri="{FF2B5EF4-FFF2-40B4-BE49-F238E27FC236}">
              <a16:creationId xmlns:a16="http://schemas.microsoft.com/office/drawing/2014/main" id="{3AB35974-CE4F-47D7-B397-741A5D0A0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78" name="Picture 1" descr="ALMASHRI_0">
          <a:extLst>
            <a:ext uri="{FF2B5EF4-FFF2-40B4-BE49-F238E27FC236}">
              <a16:creationId xmlns:a16="http://schemas.microsoft.com/office/drawing/2014/main" id="{D9DC15C8-FD66-48AC-9758-8438FDF22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79" name="Picture 1" descr="ALMASHRI_0">
          <a:extLst>
            <a:ext uri="{FF2B5EF4-FFF2-40B4-BE49-F238E27FC236}">
              <a16:creationId xmlns:a16="http://schemas.microsoft.com/office/drawing/2014/main" id="{2F3EBF9E-0FC3-4494-9D9C-F1D0F262C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0" name="Picture 1" descr="ALMASHRI_0">
          <a:extLst>
            <a:ext uri="{FF2B5EF4-FFF2-40B4-BE49-F238E27FC236}">
              <a16:creationId xmlns:a16="http://schemas.microsoft.com/office/drawing/2014/main" id="{1EB5F5CC-D3C3-494D-A2B8-3DAFEE4D9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1" name="Picture 1" descr="ALMASHRI_0">
          <a:extLst>
            <a:ext uri="{FF2B5EF4-FFF2-40B4-BE49-F238E27FC236}">
              <a16:creationId xmlns:a16="http://schemas.microsoft.com/office/drawing/2014/main" id="{7D229325-A47C-47AB-B461-154762FAA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2" name="Picture 1" descr="ALMASHRI_0">
          <a:extLst>
            <a:ext uri="{FF2B5EF4-FFF2-40B4-BE49-F238E27FC236}">
              <a16:creationId xmlns:a16="http://schemas.microsoft.com/office/drawing/2014/main" id="{A510B8E4-B6F1-4D40-B393-104A07351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3" name="Picture 1" descr="ALMASHRI_0">
          <a:extLst>
            <a:ext uri="{FF2B5EF4-FFF2-40B4-BE49-F238E27FC236}">
              <a16:creationId xmlns:a16="http://schemas.microsoft.com/office/drawing/2014/main" id="{BF961D93-66E7-4766-9073-223BCBF013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4" name="Picture 1" descr="ALMASHRI_0">
          <a:extLst>
            <a:ext uri="{FF2B5EF4-FFF2-40B4-BE49-F238E27FC236}">
              <a16:creationId xmlns:a16="http://schemas.microsoft.com/office/drawing/2014/main" id="{B2888760-1F51-42DE-8F7F-AD2CAB60B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5" name="Picture 1" descr="ALMASHRI_0">
          <a:extLst>
            <a:ext uri="{FF2B5EF4-FFF2-40B4-BE49-F238E27FC236}">
              <a16:creationId xmlns:a16="http://schemas.microsoft.com/office/drawing/2014/main" id="{895957B6-D849-4F37-8869-06C953CE7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6" name="Picture 1" descr="ALMASHRI_0">
          <a:extLst>
            <a:ext uri="{FF2B5EF4-FFF2-40B4-BE49-F238E27FC236}">
              <a16:creationId xmlns:a16="http://schemas.microsoft.com/office/drawing/2014/main" id="{BBD74955-8958-4C81-BE4B-430E7C9C5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7" name="Picture 1" descr="ALMASHRI_0">
          <a:extLst>
            <a:ext uri="{FF2B5EF4-FFF2-40B4-BE49-F238E27FC236}">
              <a16:creationId xmlns:a16="http://schemas.microsoft.com/office/drawing/2014/main" id="{1EDB708A-D502-4260-96AF-B2EB1255C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8" name="Picture 1" descr="ALMASHRI_0">
          <a:extLst>
            <a:ext uri="{FF2B5EF4-FFF2-40B4-BE49-F238E27FC236}">
              <a16:creationId xmlns:a16="http://schemas.microsoft.com/office/drawing/2014/main" id="{ED00367E-F966-44B1-88B1-1168E60AD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89" name="Picture 1" descr="ALMASHRI_0">
          <a:extLst>
            <a:ext uri="{FF2B5EF4-FFF2-40B4-BE49-F238E27FC236}">
              <a16:creationId xmlns:a16="http://schemas.microsoft.com/office/drawing/2014/main" id="{ED61602D-041D-45ED-AA05-88D51A8E9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90" name="Picture 1" descr="ALMASHRI_0">
          <a:extLst>
            <a:ext uri="{FF2B5EF4-FFF2-40B4-BE49-F238E27FC236}">
              <a16:creationId xmlns:a16="http://schemas.microsoft.com/office/drawing/2014/main" id="{2ED73414-F175-4DEB-B767-0FBED6C19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91" name="Picture 1" descr="ALMASHRI_0">
          <a:extLst>
            <a:ext uri="{FF2B5EF4-FFF2-40B4-BE49-F238E27FC236}">
              <a16:creationId xmlns:a16="http://schemas.microsoft.com/office/drawing/2014/main" id="{B406161E-D72C-483F-BC8D-44263F20E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92" name="Picture 1" descr="ALMASHRI_0">
          <a:extLst>
            <a:ext uri="{FF2B5EF4-FFF2-40B4-BE49-F238E27FC236}">
              <a16:creationId xmlns:a16="http://schemas.microsoft.com/office/drawing/2014/main" id="{5A94A807-1244-4F28-BDB7-CBFFC8D8F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93" name="Picture 1" descr="ALMASHRI_0">
          <a:extLst>
            <a:ext uri="{FF2B5EF4-FFF2-40B4-BE49-F238E27FC236}">
              <a16:creationId xmlns:a16="http://schemas.microsoft.com/office/drawing/2014/main" id="{8DFBD0DC-4A7D-4C09-974B-8D7D5507D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194" name="Picture 1" descr="ALMASHRI_0">
          <a:extLst>
            <a:ext uri="{FF2B5EF4-FFF2-40B4-BE49-F238E27FC236}">
              <a16:creationId xmlns:a16="http://schemas.microsoft.com/office/drawing/2014/main" id="{EB4606D5-362E-44E4-8C07-6F91EA253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195" name="Picture 1" descr="ALMASHRI_0">
          <a:extLst>
            <a:ext uri="{FF2B5EF4-FFF2-40B4-BE49-F238E27FC236}">
              <a16:creationId xmlns:a16="http://schemas.microsoft.com/office/drawing/2014/main" id="{453FADF4-2B5C-41BE-9C7C-5EE6F2551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196" name="Picture 1" descr="ALMASHRI_0">
          <a:extLst>
            <a:ext uri="{FF2B5EF4-FFF2-40B4-BE49-F238E27FC236}">
              <a16:creationId xmlns:a16="http://schemas.microsoft.com/office/drawing/2014/main" id="{7AAFBACB-8A02-42B4-A8E8-D9F7AA83A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197" name="Picture 1" descr="ALMASHRI_0">
          <a:extLst>
            <a:ext uri="{FF2B5EF4-FFF2-40B4-BE49-F238E27FC236}">
              <a16:creationId xmlns:a16="http://schemas.microsoft.com/office/drawing/2014/main" id="{B5B6C407-E33E-409A-91F0-32B6C40A8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198" name="Picture 1" descr="ALMASHRI_0">
          <a:extLst>
            <a:ext uri="{FF2B5EF4-FFF2-40B4-BE49-F238E27FC236}">
              <a16:creationId xmlns:a16="http://schemas.microsoft.com/office/drawing/2014/main" id="{A65080ED-71EA-4B56-999E-6370C2D69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199" name="Picture 1" descr="ALMASHRI_0">
          <a:extLst>
            <a:ext uri="{FF2B5EF4-FFF2-40B4-BE49-F238E27FC236}">
              <a16:creationId xmlns:a16="http://schemas.microsoft.com/office/drawing/2014/main" id="{EDBE0D26-5FD9-475D-BB4C-16EEF3113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0" name="Picture 1" descr="ALMASHRI_0">
          <a:extLst>
            <a:ext uri="{FF2B5EF4-FFF2-40B4-BE49-F238E27FC236}">
              <a16:creationId xmlns:a16="http://schemas.microsoft.com/office/drawing/2014/main" id="{FA68C357-99D5-4576-892F-4A06C1F05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1" name="Picture 1" descr="ALMASHRI_0">
          <a:extLst>
            <a:ext uri="{FF2B5EF4-FFF2-40B4-BE49-F238E27FC236}">
              <a16:creationId xmlns:a16="http://schemas.microsoft.com/office/drawing/2014/main" id="{7EB7028A-6722-4580-BF53-5F2FA584E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2" name="Picture 1" descr="ALMASHRI_0">
          <a:extLst>
            <a:ext uri="{FF2B5EF4-FFF2-40B4-BE49-F238E27FC236}">
              <a16:creationId xmlns:a16="http://schemas.microsoft.com/office/drawing/2014/main" id="{CE1A236B-949B-4E40-9F27-96B4EB9E3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3" name="Picture 1" descr="ALMASHRI_0">
          <a:extLst>
            <a:ext uri="{FF2B5EF4-FFF2-40B4-BE49-F238E27FC236}">
              <a16:creationId xmlns:a16="http://schemas.microsoft.com/office/drawing/2014/main" id="{7D66DED4-C8A7-48CC-BD93-2A3AFB472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4" name="Picture 1" descr="ALMASHRI_0">
          <a:extLst>
            <a:ext uri="{FF2B5EF4-FFF2-40B4-BE49-F238E27FC236}">
              <a16:creationId xmlns:a16="http://schemas.microsoft.com/office/drawing/2014/main" id="{9BF9BF07-C7FF-402A-AC98-AB6A4F867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5" name="Picture 1" descr="ALMASHRI_0">
          <a:extLst>
            <a:ext uri="{FF2B5EF4-FFF2-40B4-BE49-F238E27FC236}">
              <a16:creationId xmlns:a16="http://schemas.microsoft.com/office/drawing/2014/main" id="{0F6E2C66-4CA0-4092-9AEF-D1B143661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6" name="Picture 1" descr="ALMASHRI_0">
          <a:extLst>
            <a:ext uri="{FF2B5EF4-FFF2-40B4-BE49-F238E27FC236}">
              <a16:creationId xmlns:a16="http://schemas.microsoft.com/office/drawing/2014/main" id="{7D6CAF3F-AAC6-4B35-BD63-85D3248AE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7" name="Picture 1" descr="ALMASHRI_0">
          <a:extLst>
            <a:ext uri="{FF2B5EF4-FFF2-40B4-BE49-F238E27FC236}">
              <a16:creationId xmlns:a16="http://schemas.microsoft.com/office/drawing/2014/main" id="{96CFBD3E-BC15-4B70-8DCE-546F039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8" name="Picture 1" descr="ALMASHRI_0">
          <a:extLst>
            <a:ext uri="{FF2B5EF4-FFF2-40B4-BE49-F238E27FC236}">
              <a16:creationId xmlns:a16="http://schemas.microsoft.com/office/drawing/2014/main" id="{F55552E2-BE2B-4BD4-8B1D-3AC3EF96C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209" name="Picture 1" descr="ALMASHRI_0">
          <a:extLst>
            <a:ext uri="{FF2B5EF4-FFF2-40B4-BE49-F238E27FC236}">
              <a16:creationId xmlns:a16="http://schemas.microsoft.com/office/drawing/2014/main" id="{EF0766B8-9E48-429C-B34C-143307B79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0" name="Picture 1" descr="ALMASHRI_0">
          <a:extLst>
            <a:ext uri="{FF2B5EF4-FFF2-40B4-BE49-F238E27FC236}">
              <a16:creationId xmlns:a16="http://schemas.microsoft.com/office/drawing/2014/main" id="{724A9F04-C3EC-407B-946F-112AA71A4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1" name="Picture 1" descr="ALMASHRI_0">
          <a:extLst>
            <a:ext uri="{FF2B5EF4-FFF2-40B4-BE49-F238E27FC236}">
              <a16:creationId xmlns:a16="http://schemas.microsoft.com/office/drawing/2014/main" id="{40FDEEAD-3250-400D-AE0E-31AC3345C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2" name="Picture 1" descr="ALMASHRI_0">
          <a:extLst>
            <a:ext uri="{FF2B5EF4-FFF2-40B4-BE49-F238E27FC236}">
              <a16:creationId xmlns:a16="http://schemas.microsoft.com/office/drawing/2014/main" id="{D580BE1A-9C7C-40B9-AB9E-5507AE2AB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3" name="Picture 1" descr="ALMASHRI_0">
          <a:extLst>
            <a:ext uri="{FF2B5EF4-FFF2-40B4-BE49-F238E27FC236}">
              <a16:creationId xmlns:a16="http://schemas.microsoft.com/office/drawing/2014/main" id="{059931AB-BA5A-4C0B-AE74-995C28250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4" name="Picture 1" descr="ALMASHRI_0">
          <a:extLst>
            <a:ext uri="{FF2B5EF4-FFF2-40B4-BE49-F238E27FC236}">
              <a16:creationId xmlns:a16="http://schemas.microsoft.com/office/drawing/2014/main" id="{F2324A19-1CA5-4F38-842F-E1A48D7D1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5" name="Picture 1" descr="ALMASHRI_0">
          <a:extLst>
            <a:ext uri="{FF2B5EF4-FFF2-40B4-BE49-F238E27FC236}">
              <a16:creationId xmlns:a16="http://schemas.microsoft.com/office/drawing/2014/main" id="{233CB2F0-E86D-44A7-8C44-5D5F3C348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6" name="Picture 1" descr="ALMASHRI_0">
          <a:extLst>
            <a:ext uri="{FF2B5EF4-FFF2-40B4-BE49-F238E27FC236}">
              <a16:creationId xmlns:a16="http://schemas.microsoft.com/office/drawing/2014/main" id="{3D1495B4-B8CA-4CA4-A2DD-45C260C78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7" name="Picture 1" descr="ALMASHRI_0">
          <a:extLst>
            <a:ext uri="{FF2B5EF4-FFF2-40B4-BE49-F238E27FC236}">
              <a16:creationId xmlns:a16="http://schemas.microsoft.com/office/drawing/2014/main" id="{7689A5F1-6468-431E-9085-3367842F0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8" name="Picture 1" descr="ALMASHRI_0">
          <a:extLst>
            <a:ext uri="{FF2B5EF4-FFF2-40B4-BE49-F238E27FC236}">
              <a16:creationId xmlns:a16="http://schemas.microsoft.com/office/drawing/2014/main" id="{2F754BD8-5495-45A1-AA6C-27285A09E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19" name="Picture 1" descr="ALMASHRI_0">
          <a:extLst>
            <a:ext uri="{FF2B5EF4-FFF2-40B4-BE49-F238E27FC236}">
              <a16:creationId xmlns:a16="http://schemas.microsoft.com/office/drawing/2014/main" id="{06A1AB84-8735-43F3-BFEF-F718213F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20" name="Picture 1" descr="ALMASHRI_0">
          <a:extLst>
            <a:ext uri="{FF2B5EF4-FFF2-40B4-BE49-F238E27FC236}">
              <a16:creationId xmlns:a16="http://schemas.microsoft.com/office/drawing/2014/main" id="{C65E8B07-5B81-425A-83B1-AFE7479F8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21" name="Picture 1" descr="ALMASHRI_0">
          <a:extLst>
            <a:ext uri="{FF2B5EF4-FFF2-40B4-BE49-F238E27FC236}">
              <a16:creationId xmlns:a16="http://schemas.microsoft.com/office/drawing/2014/main" id="{5AF7091A-BE8A-4F9D-863E-49837D8E0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22" name="Picture 1" descr="ALMASHRI_0">
          <a:extLst>
            <a:ext uri="{FF2B5EF4-FFF2-40B4-BE49-F238E27FC236}">
              <a16:creationId xmlns:a16="http://schemas.microsoft.com/office/drawing/2014/main" id="{D177FD9C-65BF-4271-AE50-30F267CB2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23" name="Picture 1" descr="ALMASHRI_0">
          <a:extLst>
            <a:ext uri="{FF2B5EF4-FFF2-40B4-BE49-F238E27FC236}">
              <a16:creationId xmlns:a16="http://schemas.microsoft.com/office/drawing/2014/main" id="{4B57A6C5-FFE0-4A02-93E0-CCD57D4E6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24" name="Picture 1" descr="ALMASHRI_0">
          <a:extLst>
            <a:ext uri="{FF2B5EF4-FFF2-40B4-BE49-F238E27FC236}">
              <a16:creationId xmlns:a16="http://schemas.microsoft.com/office/drawing/2014/main" id="{1369B4EF-DCC5-4AF6-AE3C-973198305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225" name="Picture 1" descr="ALMASHRI_0">
          <a:extLst>
            <a:ext uri="{FF2B5EF4-FFF2-40B4-BE49-F238E27FC236}">
              <a16:creationId xmlns:a16="http://schemas.microsoft.com/office/drawing/2014/main" id="{D2CF11ED-AD3F-4A31-8B74-F5E6B6063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26" name="Picture 1" descr="ALMASHRI_0">
          <a:extLst>
            <a:ext uri="{FF2B5EF4-FFF2-40B4-BE49-F238E27FC236}">
              <a16:creationId xmlns:a16="http://schemas.microsoft.com/office/drawing/2014/main" id="{ABFA01D5-3D30-4972-9691-4E0072E1A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27" name="Picture 1" descr="ALMASHRI_0">
          <a:extLst>
            <a:ext uri="{FF2B5EF4-FFF2-40B4-BE49-F238E27FC236}">
              <a16:creationId xmlns:a16="http://schemas.microsoft.com/office/drawing/2014/main" id="{214EFA10-3A1F-46B0-8D62-9C0385EEF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28" name="Picture 1" descr="ALMASHRI_0">
          <a:extLst>
            <a:ext uri="{FF2B5EF4-FFF2-40B4-BE49-F238E27FC236}">
              <a16:creationId xmlns:a16="http://schemas.microsoft.com/office/drawing/2014/main" id="{F4F4D951-DC66-4066-BA88-94AA7B248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29" name="Picture 1" descr="ALMASHRI_0">
          <a:extLst>
            <a:ext uri="{FF2B5EF4-FFF2-40B4-BE49-F238E27FC236}">
              <a16:creationId xmlns:a16="http://schemas.microsoft.com/office/drawing/2014/main" id="{58A7172D-E3DC-4921-8193-87707D98F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0" name="Picture 1" descr="ALMASHRI_0">
          <a:extLst>
            <a:ext uri="{FF2B5EF4-FFF2-40B4-BE49-F238E27FC236}">
              <a16:creationId xmlns:a16="http://schemas.microsoft.com/office/drawing/2014/main" id="{F6F7486F-3621-42ED-822B-F5F5E31CF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1" name="Picture 1" descr="ALMASHRI_0">
          <a:extLst>
            <a:ext uri="{FF2B5EF4-FFF2-40B4-BE49-F238E27FC236}">
              <a16:creationId xmlns:a16="http://schemas.microsoft.com/office/drawing/2014/main" id="{03ADE38C-B94B-4F9E-ADD3-6AAE2D07F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2" name="Picture 1" descr="ALMASHRI_0">
          <a:extLst>
            <a:ext uri="{FF2B5EF4-FFF2-40B4-BE49-F238E27FC236}">
              <a16:creationId xmlns:a16="http://schemas.microsoft.com/office/drawing/2014/main" id="{52792D9F-81EE-454F-AC75-C94D7F608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3" name="Picture 1" descr="ALMASHRI_0">
          <a:extLst>
            <a:ext uri="{FF2B5EF4-FFF2-40B4-BE49-F238E27FC236}">
              <a16:creationId xmlns:a16="http://schemas.microsoft.com/office/drawing/2014/main" id="{5B794934-93F4-40B2-97E2-8BBCE3463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4" name="Picture 1" descr="ALMASHRI_0">
          <a:extLst>
            <a:ext uri="{FF2B5EF4-FFF2-40B4-BE49-F238E27FC236}">
              <a16:creationId xmlns:a16="http://schemas.microsoft.com/office/drawing/2014/main" id="{F663D6C1-1290-4841-80B3-B2102AF5F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5" name="Picture 1" descr="ALMASHRI_0">
          <a:extLst>
            <a:ext uri="{FF2B5EF4-FFF2-40B4-BE49-F238E27FC236}">
              <a16:creationId xmlns:a16="http://schemas.microsoft.com/office/drawing/2014/main" id="{747126BD-1EDA-4278-9C99-2E19B5F4E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6" name="Picture 1" descr="ALMASHRI_0">
          <a:extLst>
            <a:ext uri="{FF2B5EF4-FFF2-40B4-BE49-F238E27FC236}">
              <a16:creationId xmlns:a16="http://schemas.microsoft.com/office/drawing/2014/main" id="{CA5C7F22-5536-425B-96C2-1D0E6443C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7" name="Picture 1" descr="ALMASHRI_0">
          <a:extLst>
            <a:ext uri="{FF2B5EF4-FFF2-40B4-BE49-F238E27FC236}">
              <a16:creationId xmlns:a16="http://schemas.microsoft.com/office/drawing/2014/main" id="{73BAEFB2-3CDD-4535-984D-3B0A3233C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8" name="Picture 1" descr="ALMASHRI_0">
          <a:extLst>
            <a:ext uri="{FF2B5EF4-FFF2-40B4-BE49-F238E27FC236}">
              <a16:creationId xmlns:a16="http://schemas.microsoft.com/office/drawing/2014/main" id="{3B3E2377-6535-4E01-A24B-18C5434D7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39" name="Picture 1" descr="ALMASHRI_0">
          <a:extLst>
            <a:ext uri="{FF2B5EF4-FFF2-40B4-BE49-F238E27FC236}">
              <a16:creationId xmlns:a16="http://schemas.microsoft.com/office/drawing/2014/main" id="{2D28147C-7900-4F21-AC6C-88AA8B017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40" name="Picture 1" descr="ALMASHRI_0">
          <a:extLst>
            <a:ext uri="{FF2B5EF4-FFF2-40B4-BE49-F238E27FC236}">
              <a16:creationId xmlns:a16="http://schemas.microsoft.com/office/drawing/2014/main" id="{19B03E5B-FF38-4CC5-A60C-2DA4AEB83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41" name="Picture 1" descr="ALMASHRI_0">
          <a:extLst>
            <a:ext uri="{FF2B5EF4-FFF2-40B4-BE49-F238E27FC236}">
              <a16:creationId xmlns:a16="http://schemas.microsoft.com/office/drawing/2014/main" id="{5A7D8B98-99C8-4331-8E6C-84194EF37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42" name="Picture 1" descr="ALMASHRI_0">
          <a:extLst>
            <a:ext uri="{FF2B5EF4-FFF2-40B4-BE49-F238E27FC236}">
              <a16:creationId xmlns:a16="http://schemas.microsoft.com/office/drawing/2014/main" id="{0F8EF9E0-67C3-4521-9360-EECE4A7F4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43" name="Picture 1" descr="ALMASHRI_0">
          <a:extLst>
            <a:ext uri="{FF2B5EF4-FFF2-40B4-BE49-F238E27FC236}">
              <a16:creationId xmlns:a16="http://schemas.microsoft.com/office/drawing/2014/main" id="{4F1E054E-EB4F-4DFB-9427-7DB1A6A0D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44" name="Picture 1" descr="ALMASHRI_0">
          <a:extLst>
            <a:ext uri="{FF2B5EF4-FFF2-40B4-BE49-F238E27FC236}">
              <a16:creationId xmlns:a16="http://schemas.microsoft.com/office/drawing/2014/main" id="{1FFA41E8-7E97-4F3E-8E90-0BFD5A941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45" name="Picture 1" descr="ALMASHRI_0">
          <a:extLst>
            <a:ext uri="{FF2B5EF4-FFF2-40B4-BE49-F238E27FC236}">
              <a16:creationId xmlns:a16="http://schemas.microsoft.com/office/drawing/2014/main" id="{880DB5A4-941F-418B-A4C2-2DFBE48F7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46" name="Picture 1" descr="ALMASHRI_0">
          <a:extLst>
            <a:ext uri="{FF2B5EF4-FFF2-40B4-BE49-F238E27FC236}">
              <a16:creationId xmlns:a16="http://schemas.microsoft.com/office/drawing/2014/main" id="{EADC43DD-0505-4DDF-9DFB-3413A4D8B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47" name="Picture 1" descr="ALMASHRI_0">
          <a:extLst>
            <a:ext uri="{FF2B5EF4-FFF2-40B4-BE49-F238E27FC236}">
              <a16:creationId xmlns:a16="http://schemas.microsoft.com/office/drawing/2014/main" id="{A8E7A822-B156-4EDE-980C-748BA6F8D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48" name="Picture 1" descr="ALMASHRI_0">
          <a:extLst>
            <a:ext uri="{FF2B5EF4-FFF2-40B4-BE49-F238E27FC236}">
              <a16:creationId xmlns:a16="http://schemas.microsoft.com/office/drawing/2014/main" id="{00E68F55-998E-4309-9603-59E01507A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49" name="Picture 1" descr="ALMASHRI_0">
          <a:extLst>
            <a:ext uri="{FF2B5EF4-FFF2-40B4-BE49-F238E27FC236}">
              <a16:creationId xmlns:a16="http://schemas.microsoft.com/office/drawing/2014/main" id="{47596244-48B6-4A5D-8360-96BC39D82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50" name="Picture 1" descr="ALMASHRI_0">
          <a:extLst>
            <a:ext uri="{FF2B5EF4-FFF2-40B4-BE49-F238E27FC236}">
              <a16:creationId xmlns:a16="http://schemas.microsoft.com/office/drawing/2014/main" id="{661AB762-6E6D-46B5-9027-604B26A99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51" name="Picture 1" descr="ALMASHRI_0">
          <a:extLst>
            <a:ext uri="{FF2B5EF4-FFF2-40B4-BE49-F238E27FC236}">
              <a16:creationId xmlns:a16="http://schemas.microsoft.com/office/drawing/2014/main" id="{5D118661-24C2-4186-A3A3-D18E9E569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52" name="Picture 1" descr="ALMASHRI_0">
          <a:extLst>
            <a:ext uri="{FF2B5EF4-FFF2-40B4-BE49-F238E27FC236}">
              <a16:creationId xmlns:a16="http://schemas.microsoft.com/office/drawing/2014/main" id="{7887214D-5D7C-45E7-9CC1-2E93B1607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53" name="Picture 1" descr="ALMASHRI_0">
          <a:extLst>
            <a:ext uri="{FF2B5EF4-FFF2-40B4-BE49-F238E27FC236}">
              <a16:creationId xmlns:a16="http://schemas.microsoft.com/office/drawing/2014/main" id="{77B2D51E-1159-4A3B-B017-F47B747DB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54" name="Picture 1" descr="ALMASHRI_0">
          <a:extLst>
            <a:ext uri="{FF2B5EF4-FFF2-40B4-BE49-F238E27FC236}">
              <a16:creationId xmlns:a16="http://schemas.microsoft.com/office/drawing/2014/main" id="{546DA5A2-7312-4653-8A2C-7B1787994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55" name="Picture 1" descr="ALMASHRI_0">
          <a:extLst>
            <a:ext uri="{FF2B5EF4-FFF2-40B4-BE49-F238E27FC236}">
              <a16:creationId xmlns:a16="http://schemas.microsoft.com/office/drawing/2014/main" id="{CB160195-00E5-4B64-A977-1AEB236EB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56" name="Picture 1" descr="ALMASHRI_0">
          <a:extLst>
            <a:ext uri="{FF2B5EF4-FFF2-40B4-BE49-F238E27FC236}">
              <a16:creationId xmlns:a16="http://schemas.microsoft.com/office/drawing/2014/main" id="{8E34C344-1ADD-4E04-8EF7-735EE069F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257" name="Picture 1" descr="ALMASHRI_0">
          <a:extLst>
            <a:ext uri="{FF2B5EF4-FFF2-40B4-BE49-F238E27FC236}">
              <a16:creationId xmlns:a16="http://schemas.microsoft.com/office/drawing/2014/main" id="{CC0C2DE8-8028-49C2-BC46-DF8F1BBE6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58" name="Picture 257" descr="ALMASHRI_0">
          <a:extLst>
            <a:ext uri="{FF2B5EF4-FFF2-40B4-BE49-F238E27FC236}">
              <a16:creationId xmlns:a16="http://schemas.microsoft.com/office/drawing/2014/main" id="{4D1EC362-50BD-4030-A32B-9E71EC3A9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59" name="Picture 1" descr="ALMASHRI_0">
          <a:extLst>
            <a:ext uri="{FF2B5EF4-FFF2-40B4-BE49-F238E27FC236}">
              <a16:creationId xmlns:a16="http://schemas.microsoft.com/office/drawing/2014/main" id="{F38B936A-1EDA-45FD-AAA1-B874820DC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0" name="Picture 1" descr="ALMASHRI_0">
          <a:extLst>
            <a:ext uri="{FF2B5EF4-FFF2-40B4-BE49-F238E27FC236}">
              <a16:creationId xmlns:a16="http://schemas.microsoft.com/office/drawing/2014/main" id="{E60B9F82-B4FA-41A1-BD51-CB5789C4B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1" name="Picture 1" descr="ALMASHRI_0">
          <a:extLst>
            <a:ext uri="{FF2B5EF4-FFF2-40B4-BE49-F238E27FC236}">
              <a16:creationId xmlns:a16="http://schemas.microsoft.com/office/drawing/2014/main" id="{D824B351-AEC4-4983-918D-110FCFEA5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2" name="Picture 1" descr="ALMASHRI_0">
          <a:extLst>
            <a:ext uri="{FF2B5EF4-FFF2-40B4-BE49-F238E27FC236}">
              <a16:creationId xmlns:a16="http://schemas.microsoft.com/office/drawing/2014/main" id="{68F80DE2-8008-46D8-A5F9-A6D9E5DE93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3" name="Picture 1" descr="ALMASHRI_0">
          <a:extLst>
            <a:ext uri="{FF2B5EF4-FFF2-40B4-BE49-F238E27FC236}">
              <a16:creationId xmlns:a16="http://schemas.microsoft.com/office/drawing/2014/main" id="{5BDD9F91-D3BD-43D2-B4C6-2C2645013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4" name="Picture 1" descr="ALMASHRI_0">
          <a:extLst>
            <a:ext uri="{FF2B5EF4-FFF2-40B4-BE49-F238E27FC236}">
              <a16:creationId xmlns:a16="http://schemas.microsoft.com/office/drawing/2014/main" id="{E8FBE73B-1A20-4A12-B57E-2D611BAE3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5" name="Picture 1" descr="ALMASHRI_0">
          <a:extLst>
            <a:ext uri="{FF2B5EF4-FFF2-40B4-BE49-F238E27FC236}">
              <a16:creationId xmlns:a16="http://schemas.microsoft.com/office/drawing/2014/main" id="{88F5A4C8-FF7C-4B83-9306-B4CB9D635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6" name="Picture 1" descr="ALMASHRI_0">
          <a:extLst>
            <a:ext uri="{FF2B5EF4-FFF2-40B4-BE49-F238E27FC236}">
              <a16:creationId xmlns:a16="http://schemas.microsoft.com/office/drawing/2014/main" id="{57D32867-28B7-4675-8DB0-BA8001DED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7" name="Picture 1" descr="ALMASHRI_0">
          <a:extLst>
            <a:ext uri="{FF2B5EF4-FFF2-40B4-BE49-F238E27FC236}">
              <a16:creationId xmlns:a16="http://schemas.microsoft.com/office/drawing/2014/main" id="{4EBC454B-6A21-49FB-AD7D-02F22BF5F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8" name="Picture 1" descr="ALMASHRI_0">
          <a:extLst>
            <a:ext uri="{FF2B5EF4-FFF2-40B4-BE49-F238E27FC236}">
              <a16:creationId xmlns:a16="http://schemas.microsoft.com/office/drawing/2014/main" id="{2804D976-D389-45E8-BB20-EABCDE7BF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69" name="Picture 1" descr="ALMASHRI_0">
          <a:extLst>
            <a:ext uri="{FF2B5EF4-FFF2-40B4-BE49-F238E27FC236}">
              <a16:creationId xmlns:a16="http://schemas.microsoft.com/office/drawing/2014/main" id="{B5618CE1-064A-4D3B-968D-74E044630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70" name="Picture 1" descr="ALMASHRI_0">
          <a:extLst>
            <a:ext uri="{FF2B5EF4-FFF2-40B4-BE49-F238E27FC236}">
              <a16:creationId xmlns:a16="http://schemas.microsoft.com/office/drawing/2014/main" id="{33E96210-B452-4453-9154-6F1CB692C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71" name="Picture 1" descr="ALMASHRI_0">
          <a:extLst>
            <a:ext uri="{FF2B5EF4-FFF2-40B4-BE49-F238E27FC236}">
              <a16:creationId xmlns:a16="http://schemas.microsoft.com/office/drawing/2014/main" id="{4683FB03-1355-4AF3-AEA5-A80650F8A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72" name="Picture 1" descr="ALMASHRI_0">
          <a:extLst>
            <a:ext uri="{FF2B5EF4-FFF2-40B4-BE49-F238E27FC236}">
              <a16:creationId xmlns:a16="http://schemas.microsoft.com/office/drawing/2014/main" id="{2EEF6335-2AB6-49F4-B087-8A1560C4E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273" name="Picture 1" descr="ALMASHRI_0">
          <a:extLst>
            <a:ext uri="{FF2B5EF4-FFF2-40B4-BE49-F238E27FC236}">
              <a16:creationId xmlns:a16="http://schemas.microsoft.com/office/drawing/2014/main" id="{1FCC283E-F5CA-4E05-8A04-AEEE506DD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74" name="Picture 1" descr="ALMASHRI_0">
          <a:extLst>
            <a:ext uri="{FF2B5EF4-FFF2-40B4-BE49-F238E27FC236}">
              <a16:creationId xmlns:a16="http://schemas.microsoft.com/office/drawing/2014/main" id="{8205E93C-9591-408C-AB89-377D355D6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75" name="Picture 1" descr="ALMASHRI_0">
          <a:extLst>
            <a:ext uri="{FF2B5EF4-FFF2-40B4-BE49-F238E27FC236}">
              <a16:creationId xmlns:a16="http://schemas.microsoft.com/office/drawing/2014/main" id="{4162A74E-5497-4531-88DB-1968563E9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76" name="Picture 1" descr="ALMASHRI_0">
          <a:extLst>
            <a:ext uri="{FF2B5EF4-FFF2-40B4-BE49-F238E27FC236}">
              <a16:creationId xmlns:a16="http://schemas.microsoft.com/office/drawing/2014/main" id="{EC632382-F592-4D9B-BC38-B49FB6E91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77" name="Picture 1" descr="ALMASHRI_0">
          <a:extLst>
            <a:ext uri="{FF2B5EF4-FFF2-40B4-BE49-F238E27FC236}">
              <a16:creationId xmlns:a16="http://schemas.microsoft.com/office/drawing/2014/main" id="{24A1B202-1A2F-4130-83F1-40218AF9A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78" name="Picture 1" descr="ALMASHRI_0">
          <a:extLst>
            <a:ext uri="{FF2B5EF4-FFF2-40B4-BE49-F238E27FC236}">
              <a16:creationId xmlns:a16="http://schemas.microsoft.com/office/drawing/2014/main" id="{0FD28BC3-014E-487D-A7E1-AE4E29A02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79" name="Picture 1" descr="ALMASHRI_0">
          <a:extLst>
            <a:ext uri="{FF2B5EF4-FFF2-40B4-BE49-F238E27FC236}">
              <a16:creationId xmlns:a16="http://schemas.microsoft.com/office/drawing/2014/main" id="{6E3B7074-D458-45E9-B26F-E79400B14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0" name="Picture 1" descr="ALMASHRI_0">
          <a:extLst>
            <a:ext uri="{FF2B5EF4-FFF2-40B4-BE49-F238E27FC236}">
              <a16:creationId xmlns:a16="http://schemas.microsoft.com/office/drawing/2014/main" id="{312C0011-EEB2-428F-B9E6-337350751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1" name="Picture 1" descr="ALMASHRI_0">
          <a:extLst>
            <a:ext uri="{FF2B5EF4-FFF2-40B4-BE49-F238E27FC236}">
              <a16:creationId xmlns:a16="http://schemas.microsoft.com/office/drawing/2014/main" id="{8EEAC3D4-077D-47C3-B4BB-131F71356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2" name="Picture 1" descr="ALMASHRI_0">
          <a:extLst>
            <a:ext uri="{FF2B5EF4-FFF2-40B4-BE49-F238E27FC236}">
              <a16:creationId xmlns:a16="http://schemas.microsoft.com/office/drawing/2014/main" id="{57D087C0-DE49-4CCA-B894-9F4DA4A6A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3" name="Picture 1" descr="ALMASHRI_0">
          <a:extLst>
            <a:ext uri="{FF2B5EF4-FFF2-40B4-BE49-F238E27FC236}">
              <a16:creationId xmlns:a16="http://schemas.microsoft.com/office/drawing/2014/main" id="{7E3AF9F6-A8D9-4C9B-BE15-DC0A5E762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4" name="Picture 1" descr="ALMASHRI_0">
          <a:extLst>
            <a:ext uri="{FF2B5EF4-FFF2-40B4-BE49-F238E27FC236}">
              <a16:creationId xmlns:a16="http://schemas.microsoft.com/office/drawing/2014/main" id="{5B1869A3-7ACB-4C87-A146-CE6990154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5" name="Picture 1" descr="ALMASHRI_0">
          <a:extLst>
            <a:ext uri="{FF2B5EF4-FFF2-40B4-BE49-F238E27FC236}">
              <a16:creationId xmlns:a16="http://schemas.microsoft.com/office/drawing/2014/main" id="{39DA1810-7D2A-40C2-B46F-3347240C8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6" name="Picture 1" descr="ALMASHRI_0">
          <a:extLst>
            <a:ext uri="{FF2B5EF4-FFF2-40B4-BE49-F238E27FC236}">
              <a16:creationId xmlns:a16="http://schemas.microsoft.com/office/drawing/2014/main" id="{53112DCF-39F1-4613-83FA-20436A3F7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7" name="Picture 1" descr="ALMASHRI_0">
          <a:extLst>
            <a:ext uri="{FF2B5EF4-FFF2-40B4-BE49-F238E27FC236}">
              <a16:creationId xmlns:a16="http://schemas.microsoft.com/office/drawing/2014/main" id="{5A0890DD-DE4C-4796-B662-AC6655D31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8" name="Picture 1" descr="ALMASHRI_0">
          <a:extLst>
            <a:ext uri="{FF2B5EF4-FFF2-40B4-BE49-F238E27FC236}">
              <a16:creationId xmlns:a16="http://schemas.microsoft.com/office/drawing/2014/main" id="{18EE429A-90C4-4F7D-A5DC-42499E8BA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289" name="Picture 1" descr="ALMASHRI_0">
          <a:extLst>
            <a:ext uri="{FF2B5EF4-FFF2-40B4-BE49-F238E27FC236}">
              <a16:creationId xmlns:a16="http://schemas.microsoft.com/office/drawing/2014/main" id="{AE96757B-AD3C-491E-8D9B-80C254AE7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0" name="Picture 1" descr="ALMASHRI_0">
          <a:extLst>
            <a:ext uri="{FF2B5EF4-FFF2-40B4-BE49-F238E27FC236}">
              <a16:creationId xmlns:a16="http://schemas.microsoft.com/office/drawing/2014/main" id="{3C33D43B-A11C-49B0-B225-28B178142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1" name="Picture 1" descr="ALMASHRI_0">
          <a:extLst>
            <a:ext uri="{FF2B5EF4-FFF2-40B4-BE49-F238E27FC236}">
              <a16:creationId xmlns:a16="http://schemas.microsoft.com/office/drawing/2014/main" id="{D8FCE200-99F9-4088-A634-A7F0A34E6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2" name="Picture 1" descr="ALMASHRI_0">
          <a:extLst>
            <a:ext uri="{FF2B5EF4-FFF2-40B4-BE49-F238E27FC236}">
              <a16:creationId xmlns:a16="http://schemas.microsoft.com/office/drawing/2014/main" id="{5E45622E-83C9-4D89-B9BD-AC621B4F0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3" name="Picture 1" descr="ALMASHRI_0">
          <a:extLst>
            <a:ext uri="{FF2B5EF4-FFF2-40B4-BE49-F238E27FC236}">
              <a16:creationId xmlns:a16="http://schemas.microsoft.com/office/drawing/2014/main" id="{B6E5C415-F804-48B6-AA58-F08A0C132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4" name="Picture 1" descr="ALMASHRI_0">
          <a:extLst>
            <a:ext uri="{FF2B5EF4-FFF2-40B4-BE49-F238E27FC236}">
              <a16:creationId xmlns:a16="http://schemas.microsoft.com/office/drawing/2014/main" id="{2319B6E3-A108-4713-96DA-20AAE0C45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5" name="Picture 1" descr="ALMASHRI_0">
          <a:extLst>
            <a:ext uri="{FF2B5EF4-FFF2-40B4-BE49-F238E27FC236}">
              <a16:creationId xmlns:a16="http://schemas.microsoft.com/office/drawing/2014/main" id="{BC3BB1C6-432F-4963-B17D-7479E648F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6" name="Picture 1" descr="ALMASHRI_0">
          <a:extLst>
            <a:ext uri="{FF2B5EF4-FFF2-40B4-BE49-F238E27FC236}">
              <a16:creationId xmlns:a16="http://schemas.microsoft.com/office/drawing/2014/main" id="{5B3D0A71-BE98-4256-A403-A2EF148A3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7" name="Picture 1" descr="ALMASHRI_0">
          <a:extLst>
            <a:ext uri="{FF2B5EF4-FFF2-40B4-BE49-F238E27FC236}">
              <a16:creationId xmlns:a16="http://schemas.microsoft.com/office/drawing/2014/main" id="{16290F83-3CB2-4137-A6AF-31068D413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8" name="Picture 1" descr="ALMASHRI_0">
          <a:extLst>
            <a:ext uri="{FF2B5EF4-FFF2-40B4-BE49-F238E27FC236}">
              <a16:creationId xmlns:a16="http://schemas.microsoft.com/office/drawing/2014/main" id="{B0D00B69-CA60-4304-BF6C-D02EE8A9B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299" name="Picture 1" descr="ALMASHRI_0">
          <a:extLst>
            <a:ext uri="{FF2B5EF4-FFF2-40B4-BE49-F238E27FC236}">
              <a16:creationId xmlns:a16="http://schemas.microsoft.com/office/drawing/2014/main" id="{24C23E1D-0A48-4881-8B1C-7BBD8B13A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00" name="Picture 1" descr="ALMASHRI_0">
          <a:extLst>
            <a:ext uri="{FF2B5EF4-FFF2-40B4-BE49-F238E27FC236}">
              <a16:creationId xmlns:a16="http://schemas.microsoft.com/office/drawing/2014/main" id="{E2A8B64D-D5B7-4E1A-B6CF-6469DA22E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01" name="Picture 1" descr="ALMASHRI_0">
          <a:extLst>
            <a:ext uri="{FF2B5EF4-FFF2-40B4-BE49-F238E27FC236}">
              <a16:creationId xmlns:a16="http://schemas.microsoft.com/office/drawing/2014/main" id="{9D111CAA-AE17-49F1-9134-10985C2CB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02" name="Picture 1" descr="ALMASHRI_0">
          <a:extLst>
            <a:ext uri="{FF2B5EF4-FFF2-40B4-BE49-F238E27FC236}">
              <a16:creationId xmlns:a16="http://schemas.microsoft.com/office/drawing/2014/main" id="{5EA11700-831C-40EF-B05A-02C6A7750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03" name="Picture 1" descr="ALMASHRI_0">
          <a:extLst>
            <a:ext uri="{FF2B5EF4-FFF2-40B4-BE49-F238E27FC236}">
              <a16:creationId xmlns:a16="http://schemas.microsoft.com/office/drawing/2014/main" id="{4B17275F-B9C3-4A10-A488-1008D4238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04" name="Picture 1" descr="ALMASHRI_0">
          <a:extLst>
            <a:ext uri="{FF2B5EF4-FFF2-40B4-BE49-F238E27FC236}">
              <a16:creationId xmlns:a16="http://schemas.microsoft.com/office/drawing/2014/main" id="{1A92029C-A20D-454E-8E72-A6FEEBABF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05" name="Picture 1" descr="ALMASHRI_0">
          <a:extLst>
            <a:ext uri="{FF2B5EF4-FFF2-40B4-BE49-F238E27FC236}">
              <a16:creationId xmlns:a16="http://schemas.microsoft.com/office/drawing/2014/main" id="{0187CD18-B009-4138-92E8-BD21E7518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06" name="Picture 1" descr="ALMASHRI_0">
          <a:extLst>
            <a:ext uri="{FF2B5EF4-FFF2-40B4-BE49-F238E27FC236}">
              <a16:creationId xmlns:a16="http://schemas.microsoft.com/office/drawing/2014/main" id="{BEBDAD98-5D49-4362-B6EE-7E78F94D0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07" name="Picture 1" descr="ALMASHRI_0">
          <a:extLst>
            <a:ext uri="{FF2B5EF4-FFF2-40B4-BE49-F238E27FC236}">
              <a16:creationId xmlns:a16="http://schemas.microsoft.com/office/drawing/2014/main" id="{6B24907F-9186-4940-BD7A-3B1149B93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08" name="Picture 1" descr="ALMASHRI_0">
          <a:extLst>
            <a:ext uri="{FF2B5EF4-FFF2-40B4-BE49-F238E27FC236}">
              <a16:creationId xmlns:a16="http://schemas.microsoft.com/office/drawing/2014/main" id="{61D4E290-C062-4BFF-AF16-01C171D7F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09" name="Picture 1" descr="ALMASHRI_0">
          <a:extLst>
            <a:ext uri="{FF2B5EF4-FFF2-40B4-BE49-F238E27FC236}">
              <a16:creationId xmlns:a16="http://schemas.microsoft.com/office/drawing/2014/main" id="{EFE36F5E-3C31-4D98-AB9C-C1F0551AC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0" name="Picture 1" descr="ALMASHRI_0">
          <a:extLst>
            <a:ext uri="{FF2B5EF4-FFF2-40B4-BE49-F238E27FC236}">
              <a16:creationId xmlns:a16="http://schemas.microsoft.com/office/drawing/2014/main" id="{707A1E28-CE2D-4517-A458-BD3360AA8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1" name="Picture 1" descr="ALMASHRI_0">
          <a:extLst>
            <a:ext uri="{FF2B5EF4-FFF2-40B4-BE49-F238E27FC236}">
              <a16:creationId xmlns:a16="http://schemas.microsoft.com/office/drawing/2014/main" id="{FE49BDFB-ED38-4DDA-A3EB-D7C058976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2" name="Picture 1" descr="ALMASHRI_0">
          <a:extLst>
            <a:ext uri="{FF2B5EF4-FFF2-40B4-BE49-F238E27FC236}">
              <a16:creationId xmlns:a16="http://schemas.microsoft.com/office/drawing/2014/main" id="{14DCBCA5-0273-45DD-B103-446D82007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3" name="Picture 1" descr="ALMASHRI_0">
          <a:extLst>
            <a:ext uri="{FF2B5EF4-FFF2-40B4-BE49-F238E27FC236}">
              <a16:creationId xmlns:a16="http://schemas.microsoft.com/office/drawing/2014/main" id="{5F9AECBE-D115-4FB5-ACE1-9000583B2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4" name="Picture 1" descr="ALMASHRI_0">
          <a:extLst>
            <a:ext uri="{FF2B5EF4-FFF2-40B4-BE49-F238E27FC236}">
              <a16:creationId xmlns:a16="http://schemas.microsoft.com/office/drawing/2014/main" id="{5912E453-02DE-4DC8-ABF0-97B865E9B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5" name="Picture 1" descr="ALMASHRI_0">
          <a:extLst>
            <a:ext uri="{FF2B5EF4-FFF2-40B4-BE49-F238E27FC236}">
              <a16:creationId xmlns:a16="http://schemas.microsoft.com/office/drawing/2014/main" id="{A1FD0293-DEBF-4640-A97A-D943A022E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6" name="Picture 1" descr="ALMASHRI_0">
          <a:extLst>
            <a:ext uri="{FF2B5EF4-FFF2-40B4-BE49-F238E27FC236}">
              <a16:creationId xmlns:a16="http://schemas.microsoft.com/office/drawing/2014/main" id="{3533649F-A1AE-4E6F-90E4-D6E33C0EC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7" name="Picture 1" descr="ALMASHRI_0">
          <a:extLst>
            <a:ext uri="{FF2B5EF4-FFF2-40B4-BE49-F238E27FC236}">
              <a16:creationId xmlns:a16="http://schemas.microsoft.com/office/drawing/2014/main" id="{AFE2E15B-38E5-47A7-B253-5EC9B2516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8" name="Picture 1" descr="ALMASHRI_0">
          <a:extLst>
            <a:ext uri="{FF2B5EF4-FFF2-40B4-BE49-F238E27FC236}">
              <a16:creationId xmlns:a16="http://schemas.microsoft.com/office/drawing/2014/main" id="{5776BBE0-303D-429B-AE3B-20A07FFE9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19" name="Picture 1" descr="ALMASHRI_0">
          <a:extLst>
            <a:ext uri="{FF2B5EF4-FFF2-40B4-BE49-F238E27FC236}">
              <a16:creationId xmlns:a16="http://schemas.microsoft.com/office/drawing/2014/main" id="{18A4936A-D20F-46BD-B73D-BECF6334D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20" name="Picture 1" descr="ALMASHRI_0">
          <a:extLst>
            <a:ext uri="{FF2B5EF4-FFF2-40B4-BE49-F238E27FC236}">
              <a16:creationId xmlns:a16="http://schemas.microsoft.com/office/drawing/2014/main" id="{F7179158-D80D-4FF4-AD6B-7443D1A9D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21" name="Picture 1" descr="ALMASHRI_0">
          <a:extLst>
            <a:ext uri="{FF2B5EF4-FFF2-40B4-BE49-F238E27FC236}">
              <a16:creationId xmlns:a16="http://schemas.microsoft.com/office/drawing/2014/main" id="{E07786E4-9FAD-424F-B3F3-368DB5F56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22" name="Picture 1" descr="ALMASHRI_0">
          <a:extLst>
            <a:ext uri="{FF2B5EF4-FFF2-40B4-BE49-F238E27FC236}">
              <a16:creationId xmlns:a16="http://schemas.microsoft.com/office/drawing/2014/main" id="{36D03FEA-63E5-4FF9-8CC3-4DE4C714B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23" name="Picture 1" descr="ALMASHRI_0">
          <a:extLst>
            <a:ext uri="{FF2B5EF4-FFF2-40B4-BE49-F238E27FC236}">
              <a16:creationId xmlns:a16="http://schemas.microsoft.com/office/drawing/2014/main" id="{9EBFA734-DEAE-44AC-8E16-A918EC403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24" name="Picture 1" descr="ALMASHRI_0">
          <a:extLst>
            <a:ext uri="{FF2B5EF4-FFF2-40B4-BE49-F238E27FC236}">
              <a16:creationId xmlns:a16="http://schemas.microsoft.com/office/drawing/2014/main" id="{5C3A4762-3380-40A1-B525-C8CB463D7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25" name="Picture 1" descr="ALMASHRI_0">
          <a:extLst>
            <a:ext uri="{FF2B5EF4-FFF2-40B4-BE49-F238E27FC236}">
              <a16:creationId xmlns:a16="http://schemas.microsoft.com/office/drawing/2014/main" id="{6D311DF0-E80F-4CEF-8454-211E835D9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26" name="Picture 1" descr="ALMASHRI_0">
          <a:extLst>
            <a:ext uri="{FF2B5EF4-FFF2-40B4-BE49-F238E27FC236}">
              <a16:creationId xmlns:a16="http://schemas.microsoft.com/office/drawing/2014/main" id="{7E0C162A-2093-4E12-B16B-80DE408A2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27" name="Picture 1" descr="ALMASHRI_0">
          <a:extLst>
            <a:ext uri="{FF2B5EF4-FFF2-40B4-BE49-F238E27FC236}">
              <a16:creationId xmlns:a16="http://schemas.microsoft.com/office/drawing/2014/main" id="{98DD3896-D21F-4B5C-83A2-D7918C89C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28" name="Picture 1" descr="ALMASHRI_0">
          <a:extLst>
            <a:ext uri="{FF2B5EF4-FFF2-40B4-BE49-F238E27FC236}">
              <a16:creationId xmlns:a16="http://schemas.microsoft.com/office/drawing/2014/main" id="{12A6E67A-C4F8-4A8F-A603-471408428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29" name="Picture 1" descr="ALMASHRI_0">
          <a:extLst>
            <a:ext uri="{FF2B5EF4-FFF2-40B4-BE49-F238E27FC236}">
              <a16:creationId xmlns:a16="http://schemas.microsoft.com/office/drawing/2014/main" id="{BF4819BE-9F8E-401E-A95A-11A081657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30" name="Picture 1" descr="ALMASHRI_0">
          <a:extLst>
            <a:ext uri="{FF2B5EF4-FFF2-40B4-BE49-F238E27FC236}">
              <a16:creationId xmlns:a16="http://schemas.microsoft.com/office/drawing/2014/main" id="{5E79AA7F-5986-4FA2-BECE-F0D359EDB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31" name="Picture 1" descr="ALMASHRI_0">
          <a:extLst>
            <a:ext uri="{FF2B5EF4-FFF2-40B4-BE49-F238E27FC236}">
              <a16:creationId xmlns:a16="http://schemas.microsoft.com/office/drawing/2014/main" id="{A7B5EB7D-967B-45F5-8D4C-760D24284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32" name="Picture 1" descr="ALMASHRI_0">
          <a:extLst>
            <a:ext uri="{FF2B5EF4-FFF2-40B4-BE49-F238E27FC236}">
              <a16:creationId xmlns:a16="http://schemas.microsoft.com/office/drawing/2014/main" id="{C908F917-F9EF-4A2B-8893-41A56D6B9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33" name="Picture 1" descr="ALMASHRI_0">
          <a:extLst>
            <a:ext uri="{FF2B5EF4-FFF2-40B4-BE49-F238E27FC236}">
              <a16:creationId xmlns:a16="http://schemas.microsoft.com/office/drawing/2014/main" id="{58B4A5A9-90FC-4D0D-A3D0-1D7FD6893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34" name="Picture 1" descr="ALMASHRI_0">
          <a:extLst>
            <a:ext uri="{FF2B5EF4-FFF2-40B4-BE49-F238E27FC236}">
              <a16:creationId xmlns:a16="http://schemas.microsoft.com/office/drawing/2014/main" id="{E4AB1162-13F3-4DE5-B358-672CC6F63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35" name="Picture 1" descr="ALMASHRI_0">
          <a:extLst>
            <a:ext uri="{FF2B5EF4-FFF2-40B4-BE49-F238E27FC236}">
              <a16:creationId xmlns:a16="http://schemas.microsoft.com/office/drawing/2014/main" id="{AE52D734-6D87-490D-8D20-381C3184B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36" name="Picture 1" descr="ALMASHRI_0">
          <a:extLst>
            <a:ext uri="{FF2B5EF4-FFF2-40B4-BE49-F238E27FC236}">
              <a16:creationId xmlns:a16="http://schemas.microsoft.com/office/drawing/2014/main" id="{7FBA17C4-D026-4CA0-A307-2A09F5D17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337" name="Picture 1" descr="ALMASHRI_0">
          <a:extLst>
            <a:ext uri="{FF2B5EF4-FFF2-40B4-BE49-F238E27FC236}">
              <a16:creationId xmlns:a16="http://schemas.microsoft.com/office/drawing/2014/main" id="{567599E7-AB1F-41C1-AD63-AC34DB434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38" name="Picture 1" descr="ALMASHRI_0">
          <a:extLst>
            <a:ext uri="{FF2B5EF4-FFF2-40B4-BE49-F238E27FC236}">
              <a16:creationId xmlns:a16="http://schemas.microsoft.com/office/drawing/2014/main" id="{E45B19E3-CC14-4CDE-84CD-F8817C371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39" name="Picture 1" descr="ALMASHRI_0">
          <a:extLst>
            <a:ext uri="{FF2B5EF4-FFF2-40B4-BE49-F238E27FC236}">
              <a16:creationId xmlns:a16="http://schemas.microsoft.com/office/drawing/2014/main" id="{86EE5087-3D64-45E0-9DB6-7AEBFD077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0" name="Picture 1" descr="ALMASHRI_0">
          <a:extLst>
            <a:ext uri="{FF2B5EF4-FFF2-40B4-BE49-F238E27FC236}">
              <a16:creationId xmlns:a16="http://schemas.microsoft.com/office/drawing/2014/main" id="{DE614C95-AFC8-471B-8D7B-EDB97EDD0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1" name="Picture 1" descr="ALMASHRI_0">
          <a:extLst>
            <a:ext uri="{FF2B5EF4-FFF2-40B4-BE49-F238E27FC236}">
              <a16:creationId xmlns:a16="http://schemas.microsoft.com/office/drawing/2014/main" id="{923C4DD5-8BB0-4190-A043-C90C3F111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2" name="Picture 1" descr="ALMASHRI_0">
          <a:extLst>
            <a:ext uri="{FF2B5EF4-FFF2-40B4-BE49-F238E27FC236}">
              <a16:creationId xmlns:a16="http://schemas.microsoft.com/office/drawing/2014/main" id="{AB4DC916-D5E2-4DC4-92F1-15FF55A9D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3" name="Picture 1" descr="ALMASHRI_0">
          <a:extLst>
            <a:ext uri="{FF2B5EF4-FFF2-40B4-BE49-F238E27FC236}">
              <a16:creationId xmlns:a16="http://schemas.microsoft.com/office/drawing/2014/main" id="{7326DFBD-07FB-4277-B684-6F522A184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4" name="Picture 1" descr="ALMASHRI_0">
          <a:extLst>
            <a:ext uri="{FF2B5EF4-FFF2-40B4-BE49-F238E27FC236}">
              <a16:creationId xmlns:a16="http://schemas.microsoft.com/office/drawing/2014/main" id="{3D8DB33A-F338-407C-AFC1-6EC173B61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5" name="Picture 1" descr="ALMASHRI_0">
          <a:extLst>
            <a:ext uri="{FF2B5EF4-FFF2-40B4-BE49-F238E27FC236}">
              <a16:creationId xmlns:a16="http://schemas.microsoft.com/office/drawing/2014/main" id="{62CC5CA1-3FC6-4107-882C-63E61A518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6" name="Picture 1" descr="ALMASHRI_0">
          <a:extLst>
            <a:ext uri="{FF2B5EF4-FFF2-40B4-BE49-F238E27FC236}">
              <a16:creationId xmlns:a16="http://schemas.microsoft.com/office/drawing/2014/main" id="{855B71D0-9D5F-4759-9186-98C22909E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7" name="Picture 1" descr="ALMASHRI_0">
          <a:extLst>
            <a:ext uri="{FF2B5EF4-FFF2-40B4-BE49-F238E27FC236}">
              <a16:creationId xmlns:a16="http://schemas.microsoft.com/office/drawing/2014/main" id="{D2E910E8-6E7D-4C66-815C-5D68A6249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8" name="Picture 1" descr="ALMASHRI_0">
          <a:extLst>
            <a:ext uri="{FF2B5EF4-FFF2-40B4-BE49-F238E27FC236}">
              <a16:creationId xmlns:a16="http://schemas.microsoft.com/office/drawing/2014/main" id="{0FA4BAC1-91B5-4CE9-A5FF-66755FF2E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49" name="Picture 1" descr="ALMASHRI_0">
          <a:extLst>
            <a:ext uri="{FF2B5EF4-FFF2-40B4-BE49-F238E27FC236}">
              <a16:creationId xmlns:a16="http://schemas.microsoft.com/office/drawing/2014/main" id="{98A3D1C1-5E4A-4527-B372-86E3F5562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50" name="Picture 1" descr="ALMASHRI_0">
          <a:extLst>
            <a:ext uri="{FF2B5EF4-FFF2-40B4-BE49-F238E27FC236}">
              <a16:creationId xmlns:a16="http://schemas.microsoft.com/office/drawing/2014/main" id="{A7731B49-2109-448C-A768-9FF4368B3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51" name="Picture 1" descr="ALMASHRI_0">
          <a:extLst>
            <a:ext uri="{FF2B5EF4-FFF2-40B4-BE49-F238E27FC236}">
              <a16:creationId xmlns:a16="http://schemas.microsoft.com/office/drawing/2014/main" id="{5ACB5113-8295-4B28-9CDA-927366F1C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52" name="Picture 1" descr="ALMASHRI_0">
          <a:extLst>
            <a:ext uri="{FF2B5EF4-FFF2-40B4-BE49-F238E27FC236}">
              <a16:creationId xmlns:a16="http://schemas.microsoft.com/office/drawing/2014/main" id="{3ACF11B1-831F-46A0-9FE3-FD2275126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353" name="Picture 1" descr="ALMASHRI_0">
          <a:extLst>
            <a:ext uri="{FF2B5EF4-FFF2-40B4-BE49-F238E27FC236}">
              <a16:creationId xmlns:a16="http://schemas.microsoft.com/office/drawing/2014/main" id="{22653CEF-0623-4C4D-ADC4-F90726D8B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54" name="Picture 1" descr="ALMASHRI_0">
          <a:extLst>
            <a:ext uri="{FF2B5EF4-FFF2-40B4-BE49-F238E27FC236}">
              <a16:creationId xmlns:a16="http://schemas.microsoft.com/office/drawing/2014/main" id="{AB4D3AF7-06C6-4193-B8A9-0723DB622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55" name="Picture 1" descr="ALMASHRI_0">
          <a:extLst>
            <a:ext uri="{FF2B5EF4-FFF2-40B4-BE49-F238E27FC236}">
              <a16:creationId xmlns:a16="http://schemas.microsoft.com/office/drawing/2014/main" id="{AE4599C9-3170-480E-BCC6-35358A7F3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56" name="Picture 1" descr="ALMASHRI_0">
          <a:extLst>
            <a:ext uri="{FF2B5EF4-FFF2-40B4-BE49-F238E27FC236}">
              <a16:creationId xmlns:a16="http://schemas.microsoft.com/office/drawing/2014/main" id="{C06EE675-7E3F-42A8-A8B7-6A8468B91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57" name="Picture 1" descr="ALMASHRI_0">
          <a:extLst>
            <a:ext uri="{FF2B5EF4-FFF2-40B4-BE49-F238E27FC236}">
              <a16:creationId xmlns:a16="http://schemas.microsoft.com/office/drawing/2014/main" id="{36EF4C86-2982-4226-A23A-654CBF922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58" name="Picture 1" descr="ALMASHRI_0">
          <a:extLst>
            <a:ext uri="{FF2B5EF4-FFF2-40B4-BE49-F238E27FC236}">
              <a16:creationId xmlns:a16="http://schemas.microsoft.com/office/drawing/2014/main" id="{813C25C4-7ED2-4CFE-8452-85D2DBE36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59" name="Picture 1" descr="ALMASHRI_0">
          <a:extLst>
            <a:ext uri="{FF2B5EF4-FFF2-40B4-BE49-F238E27FC236}">
              <a16:creationId xmlns:a16="http://schemas.microsoft.com/office/drawing/2014/main" id="{57129610-DB53-45E0-A0BA-015E9E44F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0" name="Picture 1" descr="ALMASHRI_0">
          <a:extLst>
            <a:ext uri="{FF2B5EF4-FFF2-40B4-BE49-F238E27FC236}">
              <a16:creationId xmlns:a16="http://schemas.microsoft.com/office/drawing/2014/main" id="{6938546F-7CBF-4E95-B901-53164A702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1" name="Picture 1" descr="ALMASHRI_0">
          <a:extLst>
            <a:ext uri="{FF2B5EF4-FFF2-40B4-BE49-F238E27FC236}">
              <a16:creationId xmlns:a16="http://schemas.microsoft.com/office/drawing/2014/main" id="{A1808C41-DDEA-40B0-B65B-56288FC63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2" name="Picture 1" descr="ALMASHRI_0">
          <a:extLst>
            <a:ext uri="{FF2B5EF4-FFF2-40B4-BE49-F238E27FC236}">
              <a16:creationId xmlns:a16="http://schemas.microsoft.com/office/drawing/2014/main" id="{09229AD8-D28C-4B42-BE0F-D41BD7348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3" name="Picture 1" descr="ALMASHRI_0">
          <a:extLst>
            <a:ext uri="{FF2B5EF4-FFF2-40B4-BE49-F238E27FC236}">
              <a16:creationId xmlns:a16="http://schemas.microsoft.com/office/drawing/2014/main" id="{B0B3CEB2-30DA-45CE-8A3A-F2F0C0894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4" name="Picture 1" descr="ALMASHRI_0">
          <a:extLst>
            <a:ext uri="{FF2B5EF4-FFF2-40B4-BE49-F238E27FC236}">
              <a16:creationId xmlns:a16="http://schemas.microsoft.com/office/drawing/2014/main" id="{BB1FFB7B-DCD7-425D-8E82-F6F0811A9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5" name="Picture 1" descr="ALMASHRI_0">
          <a:extLst>
            <a:ext uri="{FF2B5EF4-FFF2-40B4-BE49-F238E27FC236}">
              <a16:creationId xmlns:a16="http://schemas.microsoft.com/office/drawing/2014/main" id="{CB1C1D89-A431-499E-943B-9203BAB02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6" name="Picture 1" descr="ALMASHRI_0">
          <a:extLst>
            <a:ext uri="{FF2B5EF4-FFF2-40B4-BE49-F238E27FC236}">
              <a16:creationId xmlns:a16="http://schemas.microsoft.com/office/drawing/2014/main" id="{83314DE5-3F5E-40D2-ABD7-0F5B96C93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7" name="Picture 1" descr="ALMASHRI_0">
          <a:extLst>
            <a:ext uri="{FF2B5EF4-FFF2-40B4-BE49-F238E27FC236}">
              <a16:creationId xmlns:a16="http://schemas.microsoft.com/office/drawing/2014/main" id="{DB7E4390-B1A9-4CFE-B54C-217B9D763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8" name="Picture 1" descr="ALMASHRI_0">
          <a:extLst>
            <a:ext uri="{FF2B5EF4-FFF2-40B4-BE49-F238E27FC236}">
              <a16:creationId xmlns:a16="http://schemas.microsoft.com/office/drawing/2014/main" id="{066362B4-12AF-4987-B7DE-052108E89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369" name="Picture 1" descr="ALMASHRI_0">
          <a:extLst>
            <a:ext uri="{FF2B5EF4-FFF2-40B4-BE49-F238E27FC236}">
              <a16:creationId xmlns:a16="http://schemas.microsoft.com/office/drawing/2014/main" id="{69EEBB36-9A7F-4D40-BFF0-7144FC022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0" name="Picture 1" descr="ALMASHRI_0">
          <a:extLst>
            <a:ext uri="{FF2B5EF4-FFF2-40B4-BE49-F238E27FC236}">
              <a16:creationId xmlns:a16="http://schemas.microsoft.com/office/drawing/2014/main" id="{796E505F-581F-492E-97D6-E9C7AA45E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1" name="Picture 1" descr="ALMASHRI_0">
          <a:extLst>
            <a:ext uri="{FF2B5EF4-FFF2-40B4-BE49-F238E27FC236}">
              <a16:creationId xmlns:a16="http://schemas.microsoft.com/office/drawing/2014/main" id="{B507F763-5D63-4E02-91AD-B455DC931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2" name="Picture 1" descr="ALMASHRI_0">
          <a:extLst>
            <a:ext uri="{FF2B5EF4-FFF2-40B4-BE49-F238E27FC236}">
              <a16:creationId xmlns:a16="http://schemas.microsoft.com/office/drawing/2014/main" id="{A17B013F-B27D-451A-9CFF-996A4763C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3" name="Picture 1" descr="ALMASHRI_0">
          <a:extLst>
            <a:ext uri="{FF2B5EF4-FFF2-40B4-BE49-F238E27FC236}">
              <a16:creationId xmlns:a16="http://schemas.microsoft.com/office/drawing/2014/main" id="{26929252-6FF5-4B01-AC34-19E3E34A0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4" name="Picture 1" descr="ALMASHRI_0">
          <a:extLst>
            <a:ext uri="{FF2B5EF4-FFF2-40B4-BE49-F238E27FC236}">
              <a16:creationId xmlns:a16="http://schemas.microsoft.com/office/drawing/2014/main" id="{2A8C5219-3AF1-483A-9390-CF912AB50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5" name="Picture 1" descr="ALMASHRI_0">
          <a:extLst>
            <a:ext uri="{FF2B5EF4-FFF2-40B4-BE49-F238E27FC236}">
              <a16:creationId xmlns:a16="http://schemas.microsoft.com/office/drawing/2014/main" id="{EE45EC32-C076-4AB5-B9ED-607796EB4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6" name="Picture 1" descr="ALMASHRI_0">
          <a:extLst>
            <a:ext uri="{FF2B5EF4-FFF2-40B4-BE49-F238E27FC236}">
              <a16:creationId xmlns:a16="http://schemas.microsoft.com/office/drawing/2014/main" id="{3D0E88B3-53B7-4402-B208-5E578CBB3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7" name="Picture 1" descr="ALMASHRI_0">
          <a:extLst>
            <a:ext uri="{FF2B5EF4-FFF2-40B4-BE49-F238E27FC236}">
              <a16:creationId xmlns:a16="http://schemas.microsoft.com/office/drawing/2014/main" id="{CC2082E7-69A6-49E9-8F62-853557522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8" name="Picture 1" descr="ALMASHRI_0">
          <a:extLst>
            <a:ext uri="{FF2B5EF4-FFF2-40B4-BE49-F238E27FC236}">
              <a16:creationId xmlns:a16="http://schemas.microsoft.com/office/drawing/2014/main" id="{F8AFAF61-FA69-4BA6-8349-261F11EEC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79" name="Picture 1" descr="ALMASHRI_0">
          <a:extLst>
            <a:ext uri="{FF2B5EF4-FFF2-40B4-BE49-F238E27FC236}">
              <a16:creationId xmlns:a16="http://schemas.microsoft.com/office/drawing/2014/main" id="{88EB0FF2-6A32-46CE-9419-B34EC55E6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80" name="Picture 1" descr="ALMASHRI_0">
          <a:extLst>
            <a:ext uri="{FF2B5EF4-FFF2-40B4-BE49-F238E27FC236}">
              <a16:creationId xmlns:a16="http://schemas.microsoft.com/office/drawing/2014/main" id="{DD321322-D386-4C75-98A5-DA4773DA2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81" name="Picture 1" descr="ALMASHRI_0">
          <a:extLst>
            <a:ext uri="{FF2B5EF4-FFF2-40B4-BE49-F238E27FC236}">
              <a16:creationId xmlns:a16="http://schemas.microsoft.com/office/drawing/2014/main" id="{D598260C-66F1-4D0D-AE5B-33F9402A9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82" name="Picture 1" descr="ALMASHRI_0">
          <a:extLst>
            <a:ext uri="{FF2B5EF4-FFF2-40B4-BE49-F238E27FC236}">
              <a16:creationId xmlns:a16="http://schemas.microsoft.com/office/drawing/2014/main" id="{BE6CBE8B-0F7A-48C5-9893-AF483DBA9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83" name="Picture 1" descr="ALMASHRI_0">
          <a:extLst>
            <a:ext uri="{FF2B5EF4-FFF2-40B4-BE49-F238E27FC236}">
              <a16:creationId xmlns:a16="http://schemas.microsoft.com/office/drawing/2014/main" id="{7472CE3E-E6C2-41BF-BD54-819E593B3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84" name="Picture 1" descr="ALMASHRI_0">
          <a:extLst>
            <a:ext uri="{FF2B5EF4-FFF2-40B4-BE49-F238E27FC236}">
              <a16:creationId xmlns:a16="http://schemas.microsoft.com/office/drawing/2014/main" id="{4941D88F-658D-4152-9696-170606FB8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385" name="Picture 1" descr="ALMASHRI_0">
          <a:extLst>
            <a:ext uri="{FF2B5EF4-FFF2-40B4-BE49-F238E27FC236}">
              <a16:creationId xmlns:a16="http://schemas.microsoft.com/office/drawing/2014/main" id="{9A4544A9-2C3B-4B9A-97E8-352C0A52F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86" name="Picture 1" descr="ALMASHRI_0">
          <a:extLst>
            <a:ext uri="{FF2B5EF4-FFF2-40B4-BE49-F238E27FC236}">
              <a16:creationId xmlns:a16="http://schemas.microsoft.com/office/drawing/2014/main" id="{B26F89F8-4CEE-4655-93D3-9D9C15B22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87" name="Picture 1" descr="ALMASHRI_0">
          <a:extLst>
            <a:ext uri="{FF2B5EF4-FFF2-40B4-BE49-F238E27FC236}">
              <a16:creationId xmlns:a16="http://schemas.microsoft.com/office/drawing/2014/main" id="{43B7F8E0-3E77-46EF-A68E-C30503170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88" name="Picture 1" descr="ALMASHRI_0">
          <a:extLst>
            <a:ext uri="{FF2B5EF4-FFF2-40B4-BE49-F238E27FC236}">
              <a16:creationId xmlns:a16="http://schemas.microsoft.com/office/drawing/2014/main" id="{B97E7F08-3FD1-4EEF-AA9F-29A147C72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89" name="Picture 1" descr="ALMASHRI_0">
          <a:extLst>
            <a:ext uri="{FF2B5EF4-FFF2-40B4-BE49-F238E27FC236}">
              <a16:creationId xmlns:a16="http://schemas.microsoft.com/office/drawing/2014/main" id="{8DA8A727-532C-4038-B4DC-6320A753E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0" name="Picture 1" descr="ALMASHRI_0">
          <a:extLst>
            <a:ext uri="{FF2B5EF4-FFF2-40B4-BE49-F238E27FC236}">
              <a16:creationId xmlns:a16="http://schemas.microsoft.com/office/drawing/2014/main" id="{93859FB0-8836-4282-ACC4-8DFDCAA0B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1" name="Picture 1" descr="ALMASHRI_0">
          <a:extLst>
            <a:ext uri="{FF2B5EF4-FFF2-40B4-BE49-F238E27FC236}">
              <a16:creationId xmlns:a16="http://schemas.microsoft.com/office/drawing/2014/main" id="{FE9BBFCC-B2C3-440C-B398-E8EDCAECE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2" name="Picture 1" descr="ALMASHRI_0">
          <a:extLst>
            <a:ext uri="{FF2B5EF4-FFF2-40B4-BE49-F238E27FC236}">
              <a16:creationId xmlns:a16="http://schemas.microsoft.com/office/drawing/2014/main" id="{2C0B64D1-091D-4F0A-9E22-52B8126B2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3" name="Picture 1" descr="ALMASHRI_0">
          <a:extLst>
            <a:ext uri="{FF2B5EF4-FFF2-40B4-BE49-F238E27FC236}">
              <a16:creationId xmlns:a16="http://schemas.microsoft.com/office/drawing/2014/main" id="{6E73E7D0-5D83-4288-849E-7FDBE771F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4" name="Picture 1" descr="ALMASHRI_0">
          <a:extLst>
            <a:ext uri="{FF2B5EF4-FFF2-40B4-BE49-F238E27FC236}">
              <a16:creationId xmlns:a16="http://schemas.microsoft.com/office/drawing/2014/main" id="{44B968DA-BD21-485E-BF99-C6C36C42F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5" name="Picture 1" descr="ALMASHRI_0">
          <a:extLst>
            <a:ext uri="{FF2B5EF4-FFF2-40B4-BE49-F238E27FC236}">
              <a16:creationId xmlns:a16="http://schemas.microsoft.com/office/drawing/2014/main" id="{F37C0125-1EB1-40D1-8F0E-C71BCD419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6" name="Picture 1" descr="ALMASHRI_0">
          <a:extLst>
            <a:ext uri="{FF2B5EF4-FFF2-40B4-BE49-F238E27FC236}">
              <a16:creationId xmlns:a16="http://schemas.microsoft.com/office/drawing/2014/main" id="{FF3A78F8-F333-4557-B74F-18C6FC9F4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7" name="Picture 1" descr="ALMASHRI_0">
          <a:extLst>
            <a:ext uri="{FF2B5EF4-FFF2-40B4-BE49-F238E27FC236}">
              <a16:creationId xmlns:a16="http://schemas.microsoft.com/office/drawing/2014/main" id="{8068109F-5CBB-432B-925C-769D447D3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8" name="Picture 1" descr="ALMASHRI_0">
          <a:extLst>
            <a:ext uri="{FF2B5EF4-FFF2-40B4-BE49-F238E27FC236}">
              <a16:creationId xmlns:a16="http://schemas.microsoft.com/office/drawing/2014/main" id="{9725509F-9D8E-4DD9-B922-BDC61C3C2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399" name="Picture 1" descr="ALMASHRI_0">
          <a:extLst>
            <a:ext uri="{FF2B5EF4-FFF2-40B4-BE49-F238E27FC236}">
              <a16:creationId xmlns:a16="http://schemas.microsoft.com/office/drawing/2014/main" id="{9FA82F62-98C7-4225-AB12-A1D02894E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400" name="Picture 1" descr="ALMASHRI_0">
          <a:extLst>
            <a:ext uri="{FF2B5EF4-FFF2-40B4-BE49-F238E27FC236}">
              <a16:creationId xmlns:a16="http://schemas.microsoft.com/office/drawing/2014/main" id="{DE7B3FE4-3DB8-45F0-B8E5-B6F8C8F13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401" name="Picture 1" descr="ALMASHRI_0">
          <a:extLst>
            <a:ext uri="{FF2B5EF4-FFF2-40B4-BE49-F238E27FC236}">
              <a16:creationId xmlns:a16="http://schemas.microsoft.com/office/drawing/2014/main" id="{A466AFF2-3C4B-4B8A-9FBD-FE0134C4D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02" name="Picture 1" descr="ALMASHRI_0">
          <a:extLst>
            <a:ext uri="{FF2B5EF4-FFF2-40B4-BE49-F238E27FC236}">
              <a16:creationId xmlns:a16="http://schemas.microsoft.com/office/drawing/2014/main" id="{126EDB93-17B8-40C0-B823-5B6F8A2CA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03" name="Picture 1" descr="ALMASHRI_0">
          <a:extLst>
            <a:ext uri="{FF2B5EF4-FFF2-40B4-BE49-F238E27FC236}">
              <a16:creationId xmlns:a16="http://schemas.microsoft.com/office/drawing/2014/main" id="{7A9CFC6A-BB9C-4679-A091-9CE3DCE89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04" name="Picture 1" descr="ALMASHRI_0">
          <a:extLst>
            <a:ext uri="{FF2B5EF4-FFF2-40B4-BE49-F238E27FC236}">
              <a16:creationId xmlns:a16="http://schemas.microsoft.com/office/drawing/2014/main" id="{7A79CFED-55C5-4AB4-B19A-D606D4A9E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05" name="Picture 1" descr="ALMASHRI_0">
          <a:extLst>
            <a:ext uri="{FF2B5EF4-FFF2-40B4-BE49-F238E27FC236}">
              <a16:creationId xmlns:a16="http://schemas.microsoft.com/office/drawing/2014/main" id="{9C5ED5C9-3EFD-4308-A301-2A6448BD9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06" name="Picture 1" descr="ALMASHRI_0">
          <a:extLst>
            <a:ext uri="{FF2B5EF4-FFF2-40B4-BE49-F238E27FC236}">
              <a16:creationId xmlns:a16="http://schemas.microsoft.com/office/drawing/2014/main" id="{724E35B0-DD99-4E1C-8F1D-89779784D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07" name="Picture 1" descr="ALMASHRI_0">
          <a:extLst>
            <a:ext uri="{FF2B5EF4-FFF2-40B4-BE49-F238E27FC236}">
              <a16:creationId xmlns:a16="http://schemas.microsoft.com/office/drawing/2014/main" id="{EAC9D0D8-C670-443F-A2EB-07B36013F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08" name="Picture 1" descr="ALMASHRI_0">
          <a:extLst>
            <a:ext uri="{FF2B5EF4-FFF2-40B4-BE49-F238E27FC236}">
              <a16:creationId xmlns:a16="http://schemas.microsoft.com/office/drawing/2014/main" id="{260ACABE-F078-431B-B763-895B075D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09" name="Picture 1" descr="ALMASHRI_0">
          <a:extLst>
            <a:ext uri="{FF2B5EF4-FFF2-40B4-BE49-F238E27FC236}">
              <a16:creationId xmlns:a16="http://schemas.microsoft.com/office/drawing/2014/main" id="{772757FC-805C-440E-8587-FADC945C6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10" name="Picture 1" descr="ALMASHRI_0">
          <a:extLst>
            <a:ext uri="{FF2B5EF4-FFF2-40B4-BE49-F238E27FC236}">
              <a16:creationId xmlns:a16="http://schemas.microsoft.com/office/drawing/2014/main" id="{5D8F85A2-EC6C-4BD0-AA31-A088B5317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11" name="Picture 1" descr="ALMASHRI_0">
          <a:extLst>
            <a:ext uri="{FF2B5EF4-FFF2-40B4-BE49-F238E27FC236}">
              <a16:creationId xmlns:a16="http://schemas.microsoft.com/office/drawing/2014/main" id="{BE4B8E82-B713-4F01-BD03-9273A0B97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12" name="Picture 1" descr="ALMASHRI_0">
          <a:extLst>
            <a:ext uri="{FF2B5EF4-FFF2-40B4-BE49-F238E27FC236}">
              <a16:creationId xmlns:a16="http://schemas.microsoft.com/office/drawing/2014/main" id="{F22FDE2A-FA20-4D08-A84F-AE34E287F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13" name="Picture 1" descr="ALMASHRI_0">
          <a:extLst>
            <a:ext uri="{FF2B5EF4-FFF2-40B4-BE49-F238E27FC236}">
              <a16:creationId xmlns:a16="http://schemas.microsoft.com/office/drawing/2014/main" id="{33392ECB-118A-4874-A5D7-B0A2283FB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14" name="Picture 1" descr="ALMASHRI_0">
          <a:extLst>
            <a:ext uri="{FF2B5EF4-FFF2-40B4-BE49-F238E27FC236}">
              <a16:creationId xmlns:a16="http://schemas.microsoft.com/office/drawing/2014/main" id="{E1C0256F-02ED-405C-B342-67E618006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15" name="Picture 1" descr="ALMASHRI_0">
          <a:extLst>
            <a:ext uri="{FF2B5EF4-FFF2-40B4-BE49-F238E27FC236}">
              <a16:creationId xmlns:a16="http://schemas.microsoft.com/office/drawing/2014/main" id="{A92280B2-9EBC-4838-B264-D5BACA52A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16" name="Picture 1" descr="ALMASHRI_0">
          <a:extLst>
            <a:ext uri="{FF2B5EF4-FFF2-40B4-BE49-F238E27FC236}">
              <a16:creationId xmlns:a16="http://schemas.microsoft.com/office/drawing/2014/main" id="{35A21C4E-D56E-46F7-8803-5538586B7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417" name="Picture 1" descr="ALMASHRI_0">
          <a:extLst>
            <a:ext uri="{FF2B5EF4-FFF2-40B4-BE49-F238E27FC236}">
              <a16:creationId xmlns:a16="http://schemas.microsoft.com/office/drawing/2014/main" id="{FC9FFBAE-3624-4549-9461-88D306EE4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18" name="Picture 1" descr="ALMASHRI_0">
          <a:extLst>
            <a:ext uri="{FF2B5EF4-FFF2-40B4-BE49-F238E27FC236}">
              <a16:creationId xmlns:a16="http://schemas.microsoft.com/office/drawing/2014/main" id="{86D3DAE9-9613-4EEC-A8F7-F23C884B7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19" name="Picture 1" descr="ALMASHRI_0">
          <a:extLst>
            <a:ext uri="{FF2B5EF4-FFF2-40B4-BE49-F238E27FC236}">
              <a16:creationId xmlns:a16="http://schemas.microsoft.com/office/drawing/2014/main" id="{89D2090C-D3DC-4C45-8130-54F7B5B14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0" name="Picture 1" descr="ALMASHRI_0">
          <a:extLst>
            <a:ext uri="{FF2B5EF4-FFF2-40B4-BE49-F238E27FC236}">
              <a16:creationId xmlns:a16="http://schemas.microsoft.com/office/drawing/2014/main" id="{3A06C5AE-D50D-4E9D-8450-A9D6E7F90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1" name="Picture 1" descr="ALMASHRI_0">
          <a:extLst>
            <a:ext uri="{FF2B5EF4-FFF2-40B4-BE49-F238E27FC236}">
              <a16:creationId xmlns:a16="http://schemas.microsoft.com/office/drawing/2014/main" id="{0BAE08A9-498D-49F1-8F83-63C4FEB99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2" name="Picture 1" descr="ALMASHRI_0">
          <a:extLst>
            <a:ext uri="{FF2B5EF4-FFF2-40B4-BE49-F238E27FC236}">
              <a16:creationId xmlns:a16="http://schemas.microsoft.com/office/drawing/2014/main" id="{73EE6D9A-A37D-4D89-BBF6-2F0211B30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3" name="Picture 1" descr="ALMASHRI_0">
          <a:extLst>
            <a:ext uri="{FF2B5EF4-FFF2-40B4-BE49-F238E27FC236}">
              <a16:creationId xmlns:a16="http://schemas.microsoft.com/office/drawing/2014/main" id="{999FDA49-6A46-4C4C-8B38-700A217CF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4" name="Picture 1" descr="ALMASHRI_0">
          <a:extLst>
            <a:ext uri="{FF2B5EF4-FFF2-40B4-BE49-F238E27FC236}">
              <a16:creationId xmlns:a16="http://schemas.microsoft.com/office/drawing/2014/main" id="{592DEBE0-969F-4156-A15C-4C5EA295C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5" name="Picture 1" descr="ALMASHRI_0">
          <a:extLst>
            <a:ext uri="{FF2B5EF4-FFF2-40B4-BE49-F238E27FC236}">
              <a16:creationId xmlns:a16="http://schemas.microsoft.com/office/drawing/2014/main" id="{2E9E5057-0829-42F7-ACB9-24BCA8F49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6" name="Picture 1" descr="ALMASHRI_0">
          <a:extLst>
            <a:ext uri="{FF2B5EF4-FFF2-40B4-BE49-F238E27FC236}">
              <a16:creationId xmlns:a16="http://schemas.microsoft.com/office/drawing/2014/main" id="{BA1DB343-2C2E-44B0-94C2-3A092D2FB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7" name="Picture 1" descr="ALMASHRI_0">
          <a:extLst>
            <a:ext uri="{FF2B5EF4-FFF2-40B4-BE49-F238E27FC236}">
              <a16:creationId xmlns:a16="http://schemas.microsoft.com/office/drawing/2014/main" id="{31F84BD7-071B-44B0-95EA-1AC7E3D8B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8" name="Picture 1" descr="ALMASHRI_0">
          <a:extLst>
            <a:ext uri="{FF2B5EF4-FFF2-40B4-BE49-F238E27FC236}">
              <a16:creationId xmlns:a16="http://schemas.microsoft.com/office/drawing/2014/main" id="{348217B4-FC05-46D5-A8C1-C76EAAA84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29" name="Picture 1" descr="ALMASHRI_0">
          <a:extLst>
            <a:ext uri="{FF2B5EF4-FFF2-40B4-BE49-F238E27FC236}">
              <a16:creationId xmlns:a16="http://schemas.microsoft.com/office/drawing/2014/main" id="{3386E258-5510-46E9-8460-FF99A050F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30" name="Picture 1" descr="ALMASHRI_0">
          <a:extLst>
            <a:ext uri="{FF2B5EF4-FFF2-40B4-BE49-F238E27FC236}">
              <a16:creationId xmlns:a16="http://schemas.microsoft.com/office/drawing/2014/main" id="{FEE55D78-5569-48A8-AAC0-27118CE39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31" name="Picture 1" descr="ALMASHRI_0">
          <a:extLst>
            <a:ext uri="{FF2B5EF4-FFF2-40B4-BE49-F238E27FC236}">
              <a16:creationId xmlns:a16="http://schemas.microsoft.com/office/drawing/2014/main" id="{A21AAF9A-8729-4399-BEDB-DA6FCCC61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32" name="Picture 1" descr="ALMASHRI_0">
          <a:extLst>
            <a:ext uri="{FF2B5EF4-FFF2-40B4-BE49-F238E27FC236}">
              <a16:creationId xmlns:a16="http://schemas.microsoft.com/office/drawing/2014/main" id="{169A7755-A37E-4890-961D-855F8881F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33" name="Picture 1" descr="ALMASHRI_0">
          <a:extLst>
            <a:ext uri="{FF2B5EF4-FFF2-40B4-BE49-F238E27FC236}">
              <a16:creationId xmlns:a16="http://schemas.microsoft.com/office/drawing/2014/main" id="{EA1B63E5-FCF5-44CD-8279-E6D934227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34" name="Picture 1" descr="ALMASHRI_0">
          <a:extLst>
            <a:ext uri="{FF2B5EF4-FFF2-40B4-BE49-F238E27FC236}">
              <a16:creationId xmlns:a16="http://schemas.microsoft.com/office/drawing/2014/main" id="{0CC07529-DA9B-49DF-A31E-3BA6BAE56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35" name="Picture 1" descr="ALMASHRI_0">
          <a:extLst>
            <a:ext uri="{FF2B5EF4-FFF2-40B4-BE49-F238E27FC236}">
              <a16:creationId xmlns:a16="http://schemas.microsoft.com/office/drawing/2014/main" id="{4A50DC3C-243C-4611-895D-2821D5787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36" name="Picture 1" descr="ALMASHRI_0">
          <a:extLst>
            <a:ext uri="{FF2B5EF4-FFF2-40B4-BE49-F238E27FC236}">
              <a16:creationId xmlns:a16="http://schemas.microsoft.com/office/drawing/2014/main" id="{43ADF406-252A-403B-8AB3-44E310CE9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37" name="Picture 1" descr="ALMASHRI_0">
          <a:extLst>
            <a:ext uri="{FF2B5EF4-FFF2-40B4-BE49-F238E27FC236}">
              <a16:creationId xmlns:a16="http://schemas.microsoft.com/office/drawing/2014/main" id="{3B39BF52-F681-4950-A4FB-B93654C81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38" name="Picture 1" descr="ALMASHRI_0">
          <a:extLst>
            <a:ext uri="{FF2B5EF4-FFF2-40B4-BE49-F238E27FC236}">
              <a16:creationId xmlns:a16="http://schemas.microsoft.com/office/drawing/2014/main" id="{90B9D1EA-A255-4B4E-8F71-055F7615E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39" name="Picture 1" descr="ALMASHRI_0">
          <a:extLst>
            <a:ext uri="{FF2B5EF4-FFF2-40B4-BE49-F238E27FC236}">
              <a16:creationId xmlns:a16="http://schemas.microsoft.com/office/drawing/2014/main" id="{E7D4B08F-746D-4D79-BC20-9679A4426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0" name="Picture 1" descr="ALMASHRI_0">
          <a:extLst>
            <a:ext uri="{FF2B5EF4-FFF2-40B4-BE49-F238E27FC236}">
              <a16:creationId xmlns:a16="http://schemas.microsoft.com/office/drawing/2014/main" id="{E3F72E6E-B86A-485C-8F27-2363CF570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1" name="Picture 1" descr="ALMASHRI_0">
          <a:extLst>
            <a:ext uri="{FF2B5EF4-FFF2-40B4-BE49-F238E27FC236}">
              <a16:creationId xmlns:a16="http://schemas.microsoft.com/office/drawing/2014/main" id="{8FAA4B76-6DCD-475C-9959-80A48A6DF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2" name="Picture 1" descr="ALMASHRI_0">
          <a:extLst>
            <a:ext uri="{FF2B5EF4-FFF2-40B4-BE49-F238E27FC236}">
              <a16:creationId xmlns:a16="http://schemas.microsoft.com/office/drawing/2014/main" id="{D084D8FC-C9CE-45D4-AAA2-FA65A6683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3" name="Picture 1" descr="ALMASHRI_0">
          <a:extLst>
            <a:ext uri="{FF2B5EF4-FFF2-40B4-BE49-F238E27FC236}">
              <a16:creationId xmlns:a16="http://schemas.microsoft.com/office/drawing/2014/main" id="{77D10726-50DC-4146-890A-52C4D0FF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4" name="Picture 1" descr="ALMASHRI_0">
          <a:extLst>
            <a:ext uri="{FF2B5EF4-FFF2-40B4-BE49-F238E27FC236}">
              <a16:creationId xmlns:a16="http://schemas.microsoft.com/office/drawing/2014/main" id="{5252C8F6-F6C8-4731-98C7-3F907199F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5" name="Picture 1" descr="ALMASHRI_0">
          <a:extLst>
            <a:ext uri="{FF2B5EF4-FFF2-40B4-BE49-F238E27FC236}">
              <a16:creationId xmlns:a16="http://schemas.microsoft.com/office/drawing/2014/main" id="{4BFD4A49-DF96-47EE-A820-719A45D95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6" name="Picture 1" descr="ALMASHRI_0">
          <a:extLst>
            <a:ext uri="{FF2B5EF4-FFF2-40B4-BE49-F238E27FC236}">
              <a16:creationId xmlns:a16="http://schemas.microsoft.com/office/drawing/2014/main" id="{FCD39AF2-EEB4-4969-8508-0CCFF3504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7" name="Picture 1" descr="ALMASHRI_0">
          <a:extLst>
            <a:ext uri="{FF2B5EF4-FFF2-40B4-BE49-F238E27FC236}">
              <a16:creationId xmlns:a16="http://schemas.microsoft.com/office/drawing/2014/main" id="{8A609029-B426-4D78-8019-F1294F1BE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8" name="Picture 1" descr="ALMASHRI_0">
          <a:extLst>
            <a:ext uri="{FF2B5EF4-FFF2-40B4-BE49-F238E27FC236}">
              <a16:creationId xmlns:a16="http://schemas.microsoft.com/office/drawing/2014/main" id="{FEEFAFDB-476D-4EDB-BE7C-1220F4CAC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49" name="Picture 1" descr="ALMASHRI_0">
          <a:extLst>
            <a:ext uri="{FF2B5EF4-FFF2-40B4-BE49-F238E27FC236}">
              <a16:creationId xmlns:a16="http://schemas.microsoft.com/office/drawing/2014/main" id="{9364CFEA-E577-4E70-97ED-CF29D1401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0" name="Picture 1" descr="ALMASHRI_0">
          <a:extLst>
            <a:ext uri="{FF2B5EF4-FFF2-40B4-BE49-F238E27FC236}">
              <a16:creationId xmlns:a16="http://schemas.microsoft.com/office/drawing/2014/main" id="{4F90FDFD-FADA-45F2-8E0D-07DC1D52F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1" name="Picture 1" descr="ALMASHRI_0">
          <a:extLst>
            <a:ext uri="{FF2B5EF4-FFF2-40B4-BE49-F238E27FC236}">
              <a16:creationId xmlns:a16="http://schemas.microsoft.com/office/drawing/2014/main" id="{FC934BAC-E69E-4BFD-AB7B-7B213E6F2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2" name="Picture 1" descr="ALMASHRI_0">
          <a:extLst>
            <a:ext uri="{FF2B5EF4-FFF2-40B4-BE49-F238E27FC236}">
              <a16:creationId xmlns:a16="http://schemas.microsoft.com/office/drawing/2014/main" id="{22F0D964-F186-4933-8F01-CB941C2DE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3" name="Picture 1" descr="ALMASHRI_0">
          <a:extLst>
            <a:ext uri="{FF2B5EF4-FFF2-40B4-BE49-F238E27FC236}">
              <a16:creationId xmlns:a16="http://schemas.microsoft.com/office/drawing/2014/main" id="{6311E390-A75C-415D-8CD2-AF7A9F482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4" name="Picture 1" descr="ALMASHRI_0">
          <a:extLst>
            <a:ext uri="{FF2B5EF4-FFF2-40B4-BE49-F238E27FC236}">
              <a16:creationId xmlns:a16="http://schemas.microsoft.com/office/drawing/2014/main" id="{2CCF1D6F-7F55-475D-858E-DD3F3B5BD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5" name="Picture 1" descr="ALMASHRI_0">
          <a:extLst>
            <a:ext uri="{FF2B5EF4-FFF2-40B4-BE49-F238E27FC236}">
              <a16:creationId xmlns:a16="http://schemas.microsoft.com/office/drawing/2014/main" id="{012FE064-A2DB-438C-B20F-3C4EFE0B7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6" name="Picture 1" descr="ALMASHRI_0">
          <a:extLst>
            <a:ext uri="{FF2B5EF4-FFF2-40B4-BE49-F238E27FC236}">
              <a16:creationId xmlns:a16="http://schemas.microsoft.com/office/drawing/2014/main" id="{9037A3E9-B162-44C2-9893-B8F732282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7" name="Picture 1" descr="ALMASHRI_0">
          <a:extLst>
            <a:ext uri="{FF2B5EF4-FFF2-40B4-BE49-F238E27FC236}">
              <a16:creationId xmlns:a16="http://schemas.microsoft.com/office/drawing/2014/main" id="{5C6994BF-8681-4C0F-A581-3082FDD8C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8" name="Picture 1" descr="ALMASHRI_0">
          <a:extLst>
            <a:ext uri="{FF2B5EF4-FFF2-40B4-BE49-F238E27FC236}">
              <a16:creationId xmlns:a16="http://schemas.microsoft.com/office/drawing/2014/main" id="{0F3C9BAB-E714-4C67-B236-A8E2F8DF7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59" name="Picture 1" descr="ALMASHRI_0">
          <a:extLst>
            <a:ext uri="{FF2B5EF4-FFF2-40B4-BE49-F238E27FC236}">
              <a16:creationId xmlns:a16="http://schemas.microsoft.com/office/drawing/2014/main" id="{7BF717BA-683D-4D68-B4A4-2FDD98AB8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60" name="Picture 1" descr="ALMASHRI_0">
          <a:extLst>
            <a:ext uri="{FF2B5EF4-FFF2-40B4-BE49-F238E27FC236}">
              <a16:creationId xmlns:a16="http://schemas.microsoft.com/office/drawing/2014/main" id="{10F30CBA-8478-4553-A11A-73F14002B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61" name="Picture 1" descr="ALMASHRI_0">
          <a:extLst>
            <a:ext uri="{FF2B5EF4-FFF2-40B4-BE49-F238E27FC236}">
              <a16:creationId xmlns:a16="http://schemas.microsoft.com/office/drawing/2014/main" id="{F4B7F73E-90FE-44A5-BE58-57543DF3E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62" name="Picture 1" descr="ALMASHRI_0">
          <a:extLst>
            <a:ext uri="{FF2B5EF4-FFF2-40B4-BE49-F238E27FC236}">
              <a16:creationId xmlns:a16="http://schemas.microsoft.com/office/drawing/2014/main" id="{C3259C5D-144A-45E3-8822-68C552F5D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63" name="Picture 1" descr="ALMASHRI_0">
          <a:extLst>
            <a:ext uri="{FF2B5EF4-FFF2-40B4-BE49-F238E27FC236}">
              <a16:creationId xmlns:a16="http://schemas.microsoft.com/office/drawing/2014/main" id="{9512E1C5-C37A-48D3-B6F2-1FF6B7EE3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64" name="Picture 1" descr="ALMASHRI_0">
          <a:extLst>
            <a:ext uri="{FF2B5EF4-FFF2-40B4-BE49-F238E27FC236}">
              <a16:creationId xmlns:a16="http://schemas.microsoft.com/office/drawing/2014/main" id="{BF04BE25-4888-4954-A95D-C36F0CD12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465" name="Picture 1" descr="ALMASHRI_0">
          <a:extLst>
            <a:ext uri="{FF2B5EF4-FFF2-40B4-BE49-F238E27FC236}">
              <a16:creationId xmlns:a16="http://schemas.microsoft.com/office/drawing/2014/main" id="{8D8645CD-6523-41C2-B043-AB9F67A83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66" name="Picture 1" descr="ALMASHRI_0">
          <a:extLst>
            <a:ext uri="{FF2B5EF4-FFF2-40B4-BE49-F238E27FC236}">
              <a16:creationId xmlns:a16="http://schemas.microsoft.com/office/drawing/2014/main" id="{90B125F1-EEB2-4E91-920E-39EB815EE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67" name="Picture 1" descr="ALMASHRI_0">
          <a:extLst>
            <a:ext uri="{FF2B5EF4-FFF2-40B4-BE49-F238E27FC236}">
              <a16:creationId xmlns:a16="http://schemas.microsoft.com/office/drawing/2014/main" id="{A6FE8E9A-6E0A-4FE3-979D-1DE8E7CF7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68" name="Picture 1" descr="ALMASHRI_0">
          <a:extLst>
            <a:ext uri="{FF2B5EF4-FFF2-40B4-BE49-F238E27FC236}">
              <a16:creationId xmlns:a16="http://schemas.microsoft.com/office/drawing/2014/main" id="{02A64166-F83B-4574-906D-2E43EBF4F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69" name="Picture 1" descr="ALMASHRI_0">
          <a:extLst>
            <a:ext uri="{FF2B5EF4-FFF2-40B4-BE49-F238E27FC236}">
              <a16:creationId xmlns:a16="http://schemas.microsoft.com/office/drawing/2014/main" id="{A74953D5-9551-44B6-A8AF-E8CBE327E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0" name="Picture 1" descr="ALMASHRI_0">
          <a:extLst>
            <a:ext uri="{FF2B5EF4-FFF2-40B4-BE49-F238E27FC236}">
              <a16:creationId xmlns:a16="http://schemas.microsoft.com/office/drawing/2014/main" id="{08FB9739-F5F0-4B4A-A9F2-89D4511CE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1" name="Picture 1" descr="ALMASHRI_0">
          <a:extLst>
            <a:ext uri="{FF2B5EF4-FFF2-40B4-BE49-F238E27FC236}">
              <a16:creationId xmlns:a16="http://schemas.microsoft.com/office/drawing/2014/main" id="{806D2C45-86A8-402C-B7DD-460CE72D7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2" name="Picture 1" descr="ALMASHRI_0">
          <a:extLst>
            <a:ext uri="{FF2B5EF4-FFF2-40B4-BE49-F238E27FC236}">
              <a16:creationId xmlns:a16="http://schemas.microsoft.com/office/drawing/2014/main" id="{DE8D7B13-3F48-43E8-8DCF-0E8B5ED5B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3" name="Picture 1" descr="ALMASHRI_0">
          <a:extLst>
            <a:ext uri="{FF2B5EF4-FFF2-40B4-BE49-F238E27FC236}">
              <a16:creationId xmlns:a16="http://schemas.microsoft.com/office/drawing/2014/main" id="{D873E8EC-F857-4D5B-A0AF-ACCC7678C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4" name="Picture 1" descr="ALMASHRI_0">
          <a:extLst>
            <a:ext uri="{FF2B5EF4-FFF2-40B4-BE49-F238E27FC236}">
              <a16:creationId xmlns:a16="http://schemas.microsoft.com/office/drawing/2014/main" id="{D614B57E-4BAB-4067-9A1F-09F73FB8D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5" name="Picture 1" descr="ALMASHRI_0">
          <a:extLst>
            <a:ext uri="{FF2B5EF4-FFF2-40B4-BE49-F238E27FC236}">
              <a16:creationId xmlns:a16="http://schemas.microsoft.com/office/drawing/2014/main" id="{4021D0EC-FEFF-4CDC-B26A-5991452E2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6" name="Picture 1" descr="ALMASHRI_0">
          <a:extLst>
            <a:ext uri="{FF2B5EF4-FFF2-40B4-BE49-F238E27FC236}">
              <a16:creationId xmlns:a16="http://schemas.microsoft.com/office/drawing/2014/main" id="{6F092952-FFBB-4BA0-B42C-C11543B83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7" name="Picture 1" descr="ALMASHRI_0">
          <a:extLst>
            <a:ext uri="{FF2B5EF4-FFF2-40B4-BE49-F238E27FC236}">
              <a16:creationId xmlns:a16="http://schemas.microsoft.com/office/drawing/2014/main" id="{73CF5EFA-BAC9-4F5C-A781-58470386E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8" name="Picture 1" descr="ALMASHRI_0">
          <a:extLst>
            <a:ext uri="{FF2B5EF4-FFF2-40B4-BE49-F238E27FC236}">
              <a16:creationId xmlns:a16="http://schemas.microsoft.com/office/drawing/2014/main" id="{028504C9-B0E5-486D-81CD-12BE0D7F4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79" name="Picture 1" descr="ALMASHRI_0">
          <a:extLst>
            <a:ext uri="{FF2B5EF4-FFF2-40B4-BE49-F238E27FC236}">
              <a16:creationId xmlns:a16="http://schemas.microsoft.com/office/drawing/2014/main" id="{0A84AA48-BBDE-48D4-9BD2-3C7CA180A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80" name="Picture 1" descr="ALMASHRI_0">
          <a:extLst>
            <a:ext uri="{FF2B5EF4-FFF2-40B4-BE49-F238E27FC236}">
              <a16:creationId xmlns:a16="http://schemas.microsoft.com/office/drawing/2014/main" id="{8FDA0F4D-663C-4003-A66B-96B2E0C51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481" name="Picture 1" descr="ALMASHRI_0">
          <a:extLst>
            <a:ext uri="{FF2B5EF4-FFF2-40B4-BE49-F238E27FC236}">
              <a16:creationId xmlns:a16="http://schemas.microsoft.com/office/drawing/2014/main" id="{E168EC44-9B84-43C4-B19A-568F25206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2" name="Picture 1" descr="ALMASHRI_0">
          <a:extLst>
            <a:ext uri="{FF2B5EF4-FFF2-40B4-BE49-F238E27FC236}">
              <a16:creationId xmlns:a16="http://schemas.microsoft.com/office/drawing/2014/main" id="{38F85DA5-3D03-4854-A6F7-A77C8A398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3" name="Picture 1" descr="ALMASHRI_0">
          <a:extLst>
            <a:ext uri="{FF2B5EF4-FFF2-40B4-BE49-F238E27FC236}">
              <a16:creationId xmlns:a16="http://schemas.microsoft.com/office/drawing/2014/main" id="{BFC7815C-0E2A-4A64-BF9B-FEA94A839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4" name="Picture 1" descr="ALMASHRI_0">
          <a:extLst>
            <a:ext uri="{FF2B5EF4-FFF2-40B4-BE49-F238E27FC236}">
              <a16:creationId xmlns:a16="http://schemas.microsoft.com/office/drawing/2014/main" id="{EB472705-1583-40B4-9BF1-B86A16E47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5" name="Picture 1" descr="ALMASHRI_0">
          <a:extLst>
            <a:ext uri="{FF2B5EF4-FFF2-40B4-BE49-F238E27FC236}">
              <a16:creationId xmlns:a16="http://schemas.microsoft.com/office/drawing/2014/main" id="{A90AC7AE-199B-41E4-A796-FFEA8DF27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6" name="Picture 1" descr="ALMASHRI_0">
          <a:extLst>
            <a:ext uri="{FF2B5EF4-FFF2-40B4-BE49-F238E27FC236}">
              <a16:creationId xmlns:a16="http://schemas.microsoft.com/office/drawing/2014/main" id="{1ABC44EF-BAD7-46C0-BA78-B012316CE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7" name="Picture 1" descr="ALMASHRI_0">
          <a:extLst>
            <a:ext uri="{FF2B5EF4-FFF2-40B4-BE49-F238E27FC236}">
              <a16:creationId xmlns:a16="http://schemas.microsoft.com/office/drawing/2014/main" id="{DF5E5629-DE30-4B69-952B-B090A123F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8" name="Picture 1" descr="ALMASHRI_0">
          <a:extLst>
            <a:ext uri="{FF2B5EF4-FFF2-40B4-BE49-F238E27FC236}">
              <a16:creationId xmlns:a16="http://schemas.microsoft.com/office/drawing/2014/main" id="{C2947DB4-6B5F-4F2B-918E-5D44C9AB1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89" name="Picture 1" descr="ALMASHRI_0">
          <a:extLst>
            <a:ext uri="{FF2B5EF4-FFF2-40B4-BE49-F238E27FC236}">
              <a16:creationId xmlns:a16="http://schemas.microsoft.com/office/drawing/2014/main" id="{AB3B2A1B-BBF0-4DCC-82AC-75C5C48ED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0" name="Picture 1" descr="ALMASHRI_0">
          <a:extLst>
            <a:ext uri="{FF2B5EF4-FFF2-40B4-BE49-F238E27FC236}">
              <a16:creationId xmlns:a16="http://schemas.microsoft.com/office/drawing/2014/main" id="{CCC6FC59-4812-4BB8-A148-5D2D6E0F0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1" name="Picture 1" descr="ALMASHRI_0">
          <a:extLst>
            <a:ext uri="{FF2B5EF4-FFF2-40B4-BE49-F238E27FC236}">
              <a16:creationId xmlns:a16="http://schemas.microsoft.com/office/drawing/2014/main" id="{FE3B3D54-80FF-482B-ABA5-362C6779D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2" name="Picture 1" descr="ALMASHRI_0">
          <a:extLst>
            <a:ext uri="{FF2B5EF4-FFF2-40B4-BE49-F238E27FC236}">
              <a16:creationId xmlns:a16="http://schemas.microsoft.com/office/drawing/2014/main" id="{7279E03D-E4A8-476A-8E91-C37980A03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3" name="Picture 1" descr="ALMASHRI_0">
          <a:extLst>
            <a:ext uri="{FF2B5EF4-FFF2-40B4-BE49-F238E27FC236}">
              <a16:creationId xmlns:a16="http://schemas.microsoft.com/office/drawing/2014/main" id="{66AE5A40-216D-4F2F-82A1-C1A7799A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4" name="Picture 1" descr="ALMASHRI_0">
          <a:extLst>
            <a:ext uri="{FF2B5EF4-FFF2-40B4-BE49-F238E27FC236}">
              <a16:creationId xmlns:a16="http://schemas.microsoft.com/office/drawing/2014/main" id="{51F1843C-35B0-481C-8932-715D784C3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5" name="Picture 1" descr="ALMASHRI_0">
          <a:extLst>
            <a:ext uri="{FF2B5EF4-FFF2-40B4-BE49-F238E27FC236}">
              <a16:creationId xmlns:a16="http://schemas.microsoft.com/office/drawing/2014/main" id="{5A0E6A11-D6B6-46B9-AE77-7F3A279C1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6" name="Picture 1" descr="ALMASHRI_0">
          <a:extLst>
            <a:ext uri="{FF2B5EF4-FFF2-40B4-BE49-F238E27FC236}">
              <a16:creationId xmlns:a16="http://schemas.microsoft.com/office/drawing/2014/main" id="{9296481E-81BE-407D-BA8B-AF63F3605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497" name="Picture 1" descr="ALMASHRI_0">
          <a:extLst>
            <a:ext uri="{FF2B5EF4-FFF2-40B4-BE49-F238E27FC236}">
              <a16:creationId xmlns:a16="http://schemas.microsoft.com/office/drawing/2014/main" id="{1B1B1771-F7F1-4D78-8826-5D73124A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98" name="Picture 1" descr="ALMASHRI_0">
          <a:extLst>
            <a:ext uri="{FF2B5EF4-FFF2-40B4-BE49-F238E27FC236}">
              <a16:creationId xmlns:a16="http://schemas.microsoft.com/office/drawing/2014/main" id="{0D9E614A-FA06-4112-9222-E5B18B46E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499" name="Picture 1" descr="ALMASHRI_0">
          <a:extLst>
            <a:ext uri="{FF2B5EF4-FFF2-40B4-BE49-F238E27FC236}">
              <a16:creationId xmlns:a16="http://schemas.microsoft.com/office/drawing/2014/main" id="{7A49A2AD-AD8E-4546-92CB-917A328AD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0" name="Picture 1" descr="ALMASHRI_0">
          <a:extLst>
            <a:ext uri="{FF2B5EF4-FFF2-40B4-BE49-F238E27FC236}">
              <a16:creationId xmlns:a16="http://schemas.microsoft.com/office/drawing/2014/main" id="{9F39EE9C-50FF-46AC-957B-2C2EFF93F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1" name="Picture 1" descr="ALMASHRI_0">
          <a:extLst>
            <a:ext uri="{FF2B5EF4-FFF2-40B4-BE49-F238E27FC236}">
              <a16:creationId xmlns:a16="http://schemas.microsoft.com/office/drawing/2014/main" id="{6098F2C7-7E75-4AF5-B332-AF58BA7E7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2" name="Picture 1" descr="ALMASHRI_0">
          <a:extLst>
            <a:ext uri="{FF2B5EF4-FFF2-40B4-BE49-F238E27FC236}">
              <a16:creationId xmlns:a16="http://schemas.microsoft.com/office/drawing/2014/main" id="{402BD53A-9518-467B-8790-5F3554B59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3" name="Picture 1" descr="ALMASHRI_0">
          <a:extLst>
            <a:ext uri="{FF2B5EF4-FFF2-40B4-BE49-F238E27FC236}">
              <a16:creationId xmlns:a16="http://schemas.microsoft.com/office/drawing/2014/main" id="{2313A184-00F8-4A96-BC39-7503B79C0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4" name="Picture 1" descr="ALMASHRI_0">
          <a:extLst>
            <a:ext uri="{FF2B5EF4-FFF2-40B4-BE49-F238E27FC236}">
              <a16:creationId xmlns:a16="http://schemas.microsoft.com/office/drawing/2014/main" id="{4B55A20A-D785-42B3-9AB5-8CC1F2505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5" name="Picture 1" descr="ALMASHRI_0">
          <a:extLst>
            <a:ext uri="{FF2B5EF4-FFF2-40B4-BE49-F238E27FC236}">
              <a16:creationId xmlns:a16="http://schemas.microsoft.com/office/drawing/2014/main" id="{FCA819F3-4B83-4A2C-837E-2C4795F70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6" name="Picture 1" descr="ALMASHRI_0">
          <a:extLst>
            <a:ext uri="{FF2B5EF4-FFF2-40B4-BE49-F238E27FC236}">
              <a16:creationId xmlns:a16="http://schemas.microsoft.com/office/drawing/2014/main" id="{74B80870-9107-4E03-BAAB-6D4F24E77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7" name="Picture 1" descr="ALMASHRI_0">
          <a:extLst>
            <a:ext uri="{FF2B5EF4-FFF2-40B4-BE49-F238E27FC236}">
              <a16:creationId xmlns:a16="http://schemas.microsoft.com/office/drawing/2014/main" id="{AD035F0A-BA55-424E-986B-CA189B50D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8" name="Picture 1" descr="ALMASHRI_0">
          <a:extLst>
            <a:ext uri="{FF2B5EF4-FFF2-40B4-BE49-F238E27FC236}">
              <a16:creationId xmlns:a16="http://schemas.microsoft.com/office/drawing/2014/main" id="{022BD8B5-855F-456B-A5A0-707CADA08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09" name="Picture 1" descr="ALMASHRI_0">
          <a:extLst>
            <a:ext uri="{FF2B5EF4-FFF2-40B4-BE49-F238E27FC236}">
              <a16:creationId xmlns:a16="http://schemas.microsoft.com/office/drawing/2014/main" id="{4EF93776-A0E8-43C2-B145-6FE0E8353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10" name="Picture 1" descr="ALMASHRI_0">
          <a:extLst>
            <a:ext uri="{FF2B5EF4-FFF2-40B4-BE49-F238E27FC236}">
              <a16:creationId xmlns:a16="http://schemas.microsoft.com/office/drawing/2014/main" id="{3F4FC8EA-6360-45DC-8DCC-604A8853A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11" name="Picture 1" descr="ALMASHRI_0">
          <a:extLst>
            <a:ext uri="{FF2B5EF4-FFF2-40B4-BE49-F238E27FC236}">
              <a16:creationId xmlns:a16="http://schemas.microsoft.com/office/drawing/2014/main" id="{D465DB49-959C-40E7-A5E9-9BBB5B837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12" name="Picture 1" descr="ALMASHRI_0">
          <a:extLst>
            <a:ext uri="{FF2B5EF4-FFF2-40B4-BE49-F238E27FC236}">
              <a16:creationId xmlns:a16="http://schemas.microsoft.com/office/drawing/2014/main" id="{90DEA6F8-44DB-4D29-9451-F6F5DD234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13" name="Picture 1" descr="ALMASHRI_0">
          <a:extLst>
            <a:ext uri="{FF2B5EF4-FFF2-40B4-BE49-F238E27FC236}">
              <a16:creationId xmlns:a16="http://schemas.microsoft.com/office/drawing/2014/main" id="{96E1A707-D47A-4AE5-ADF8-298A1A2CF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14" name="Picture 513" descr="ALMASHRI_0">
          <a:extLst>
            <a:ext uri="{FF2B5EF4-FFF2-40B4-BE49-F238E27FC236}">
              <a16:creationId xmlns:a16="http://schemas.microsoft.com/office/drawing/2014/main" id="{C4557A19-FE28-49D4-A3BF-9D689480E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15" name="Picture 1" descr="ALMASHRI_0">
          <a:extLst>
            <a:ext uri="{FF2B5EF4-FFF2-40B4-BE49-F238E27FC236}">
              <a16:creationId xmlns:a16="http://schemas.microsoft.com/office/drawing/2014/main" id="{457C4780-4A11-482B-A5C9-815386ACB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16" name="Picture 1" descr="ALMASHRI_0">
          <a:extLst>
            <a:ext uri="{FF2B5EF4-FFF2-40B4-BE49-F238E27FC236}">
              <a16:creationId xmlns:a16="http://schemas.microsoft.com/office/drawing/2014/main" id="{2AFB33B4-2F1F-4CB8-8A0C-292818441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17" name="Picture 1" descr="ALMASHRI_0">
          <a:extLst>
            <a:ext uri="{FF2B5EF4-FFF2-40B4-BE49-F238E27FC236}">
              <a16:creationId xmlns:a16="http://schemas.microsoft.com/office/drawing/2014/main" id="{18007A90-FF82-4782-A8F2-C74D42E9C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18" name="Picture 1" descr="ALMASHRI_0">
          <a:extLst>
            <a:ext uri="{FF2B5EF4-FFF2-40B4-BE49-F238E27FC236}">
              <a16:creationId xmlns:a16="http://schemas.microsoft.com/office/drawing/2014/main" id="{2A8C51B4-6E39-47C2-A3D2-48A0DC417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19" name="Picture 1" descr="ALMASHRI_0">
          <a:extLst>
            <a:ext uri="{FF2B5EF4-FFF2-40B4-BE49-F238E27FC236}">
              <a16:creationId xmlns:a16="http://schemas.microsoft.com/office/drawing/2014/main" id="{99191C12-D7C9-45B2-9D8F-488DE940B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0" name="Picture 1" descr="ALMASHRI_0">
          <a:extLst>
            <a:ext uri="{FF2B5EF4-FFF2-40B4-BE49-F238E27FC236}">
              <a16:creationId xmlns:a16="http://schemas.microsoft.com/office/drawing/2014/main" id="{A1FEAB09-F63D-423B-A651-6DAA09BB8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1" name="Picture 1" descr="ALMASHRI_0">
          <a:extLst>
            <a:ext uri="{FF2B5EF4-FFF2-40B4-BE49-F238E27FC236}">
              <a16:creationId xmlns:a16="http://schemas.microsoft.com/office/drawing/2014/main" id="{F76855D4-AB9E-4068-ACA2-B4E94221E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2" name="Picture 1" descr="ALMASHRI_0">
          <a:extLst>
            <a:ext uri="{FF2B5EF4-FFF2-40B4-BE49-F238E27FC236}">
              <a16:creationId xmlns:a16="http://schemas.microsoft.com/office/drawing/2014/main" id="{58954689-819B-4C7F-8D66-7E1B056D0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3" name="Picture 1" descr="ALMASHRI_0">
          <a:extLst>
            <a:ext uri="{FF2B5EF4-FFF2-40B4-BE49-F238E27FC236}">
              <a16:creationId xmlns:a16="http://schemas.microsoft.com/office/drawing/2014/main" id="{A9A5EAB1-1EFA-4DD4-B700-12D7B0182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4" name="Picture 1" descr="ALMASHRI_0">
          <a:extLst>
            <a:ext uri="{FF2B5EF4-FFF2-40B4-BE49-F238E27FC236}">
              <a16:creationId xmlns:a16="http://schemas.microsoft.com/office/drawing/2014/main" id="{5F2BF76B-C9DF-4B2B-987C-BDB11644C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5" name="Picture 1" descr="ALMASHRI_0">
          <a:extLst>
            <a:ext uri="{FF2B5EF4-FFF2-40B4-BE49-F238E27FC236}">
              <a16:creationId xmlns:a16="http://schemas.microsoft.com/office/drawing/2014/main" id="{2E2D3C26-0D77-40F3-BC4F-691864021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6" name="Picture 1" descr="ALMASHRI_0">
          <a:extLst>
            <a:ext uri="{FF2B5EF4-FFF2-40B4-BE49-F238E27FC236}">
              <a16:creationId xmlns:a16="http://schemas.microsoft.com/office/drawing/2014/main" id="{BED10959-1418-438E-B031-A2DE4C332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7" name="Picture 1" descr="ALMASHRI_0">
          <a:extLst>
            <a:ext uri="{FF2B5EF4-FFF2-40B4-BE49-F238E27FC236}">
              <a16:creationId xmlns:a16="http://schemas.microsoft.com/office/drawing/2014/main" id="{F45A77F5-C11F-44E0-8BBD-17F5284E6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8" name="Picture 1" descr="ALMASHRI_0">
          <a:extLst>
            <a:ext uri="{FF2B5EF4-FFF2-40B4-BE49-F238E27FC236}">
              <a16:creationId xmlns:a16="http://schemas.microsoft.com/office/drawing/2014/main" id="{08E7BB65-6746-49C5-8AE1-4B1A30F71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529" name="Picture 1" descr="ALMASHRI_0">
          <a:extLst>
            <a:ext uri="{FF2B5EF4-FFF2-40B4-BE49-F238E27FC236}">
              <a16:creationId xmlns:a16="http://schemas.microsoft.com/office/drawing/2014/main" id="{421E798C-F552-460D-B7B5-B0C03E72F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0" name="Picture 1" descr="ALMASHRI_0">
          <a:extLst>
            <a:ext uri="{FF2B5EF4-FFF2-40B4-BE49-F238E27FC236}">
              <a16:creationId xmlns:a16="http://schemas.microsoft.com/office/drawing/2014/main" id="{49736510-6F70-48A2-81AA-4022C352F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1" name="Picture 1" descr="ALMASHRI_0">
          <a:extLst>
            <a:ext uri="{FF2B5EF4-FFF2-40B4-BE49-F238E27FC236}">
              <a16:creationId xmlns:a16="http://schemas.microsoft.com/office/drawing/2014/main" id="{4BFE368E-83CB-4970-A470-60636D399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2" name="Picture 1" descr="ALMASHRI_0">
          <a:extLst>
            <a:ext uri="{FF2B5EF4-FFF2-40B4-BE49-F238E27FC236}">
              <a16:creationId xmlns:a16="http://schemas.microsoft.com/office/drawing/2014/main" id="{2863D8D0-9E6B-4B4B-86CF-E59C7FD73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3" name="Picture 1" descr="ALMASHRI_0">
          <a:extLst>
            <a:ext uri="{FF2B5EF4-FFF2-40B4-BE49-F238E27FC236}">
              <a16:creationId xmlns:a16="http://schemas.microsoft.com/office/drawing/2014/main" id="{011C066D-E2A2-447C-8D3C-B953FCDAE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4" name="Picture 1" descr="ALMASHRI_0">
          <a:extLst>
            <a:ext uri="{FF2B5EF4-FFF2-40B4-BE49-F238E27FC236}">
              <a16:creationId xmlns:a16="http://schemas.microsoft.com/office/drawing/2014/main" id="{02A3FD7E-3CBD-485A-ADFD-785A70516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5" name="Picture 1" descr="ALMASHRI_0">
          <a:extLst>
            <a:ext uri="{FF2B5EF4-FFF2-40B4-BE49-F238E27FC236}">
              <a16:creationId xmlns:a16="http://schemas.microsoft.com/office/drawing/2014/main" id="{247A053E-4666-4D72-B116-949FA51FD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6" name="Picture 1" descr="ALMASHRI_0">
          <a:extLst>
            <a:ext uri="{FF2B5EF4-FFF2-40B4-BE49-F238E27FC236}">
              <a16:creationId xmlns:a16="http://schemas.microsoft.com/office/drawing/2014/main" id="{AE1E0193-6F81-4A6D-A85A-6BF666D05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7" name="Picture 1" descr="ALMASHRI_0">
          <a:extLst>
            <a:ext uri="{FF2B5EF4-FFF2-40B4-BE49-F238E27FC236}">
              <a16:creationId xmlns:a16="http://schemas.microsoft.com/office/drawing/2014/main" id="{E2B5DF92-FCFE-428D-8027-56546AA48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8" name="Picture 1" descr="ALMASHRI_0">
          <a:extLst>
            <a:ext uri="{FF2B5EF4-FFF2-40B4-BE49-F238E27FC236}">
              <a16:creationId xmlns:a16="http://schemas.microsoft.com/office/drawing/2014/main" id="{7EF2D6C7-1DD4-4604-AFC4-BE49D3A5E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39" name="Picture 1" descr="ALMASHRI_0">
          <a:extLst>
            <a:ext uri="{FF2B5EF4-FFF2-40B4-BE49-F238E27FC236}">
              <a16:creationId xmlns:a16="http://schemas.microsoft.com/office/drawing/2014/main" id="{714FEB31-15DD-4838-B7D3-B34600A69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40" name="Picture 1" descr="ALMASHRI_0">
          <a:extLst>
            <a:ext uri="{FF2B5EF4-FFF2-40B4-BE49-F238E27FC236}">
              <a16:creationId xmlns:a16="http://schemas.microsoft.com/office/drawing/2014/main" id="{08C165F0-2743-4413-B60E-240E76BB9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41" name="Picture 1" descr="ALMASHRI_0">
          <a:extLst>
            <a:ext uri="{FF2B5EF4-FFF2-40B4-BE49-F238E27FC236}">
              <a16:creationId xmlns:a16="http://schemas.microsoft.com/office/drawing/2014/main" id="{19EA6915-BD1A-4AF4-AD22-C0B662A82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42" name="Picture 1" descr="ALMASHRI_0">
          <a:extLst>
            <a:ext uri="{FF2B5EF4-FFF2-40B4-BE49-F238E27FC236}">
              <a16:creationId xmlns:a16="http://schemas.microsoft.com/office/drawing/2014/main" id="{E97A0BDE-6254-4F17-B34B-7B99806CC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43" name="Picture 1" descr="ALMASHRI_0">
          <a:extLst>
            <a:ext uri="{FF2B5EF4-FFF2-40B4-BE49-F238E27FC236}">
              <a16:creationId xmlns:a16="http://schemas.microsoft.com/office/drawing/2014/main" id="{D8D86E6B-5A9A-4B02-B5C6-82E47C4CB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44" name="Picture 1" descr="ALMASHRI_0">
          <a:extLst>
            <a:ext uri="{FF2B5EF4-FFF2-40B4-BE49-F238E27FC236}">
              <a16:creationId xmlns:a16="http://schemas.microsoft.com/office/drawing/2014/main" id="{A0FCF72C-D213-4F04-A3FD-9A47F99BB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545" name="Picture 1" descr="ALMASHRI_0">
          <a:extLst>
            <a:ext uri="{FF2B5EF4-FFF2-40B4-BE49-F238E27FC236}">
              <a16:creationId xmlns:a16="http://schemas.microsoft.com/office/drawing/2014/main" id="{98CF45BB-0938-4029-A262-E3A6D41FA3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46" name="Picture 1" descr="ALMASHRI_0">
          <a:extLst>
            <a:ext uri="{FF2B5EF4-FFF2-40B4-BE49-F238E27FC236}">
              <a16:creationId xmlns:a16="http://schemas.microsoft.com/office/drawing/2014/main" id="{D8F71CFC-DCCB-4231-A59A-AF444B855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47" name="Picture 1" descr="ALMASHRI_0">
          <a:extLst>
            <a:ext uri="{FF2B5EF4-FFF2-40B4-BE49-F238E27FC236}">
              <a16:creationId xmlns:a16="http://schemas.microsoft.com/office/drawing/2014/main" id="{2D992926-43A0-48F9-9820-C6EBD74A6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48" name="Picture 1" descr="ALMASHRI_0">
          <a:extLst>
            <a:ext uri="{FF2B5EF4-FFF2-40B4-BE49-F238E27FC236}">
              <a16:creationId xmlns:a16="http://schemas.microsoft.com/office/drawing/2014/main" id="{78EFDBB6-D46C-4132-A8D2-B423FC333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49" name="Picture 1" descr="ALMASHRI_0">
          <a:extLst>
            <a:ext uri="{FF2B5EF4-FFF2-40B4-BE49-F238E27FC236}">
              <a16:creationId xmlns:a16="http://schemas.microsoft.com/office/drawing/2014/main" id="{C463F6DA-1805-4334-AB6F-88605D3E7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0" name="Picture 1" descr="ALMASHRI_0">
          <a:extLst>
            <a:ext uri="{FF2B5EF4-FFF2-40B4-BE49-F238E27FC236}">
              <a16:creationId xmlns:a16="http://schemas.microsoft.com/office/drawing/2014/main" id="{3AD89CAC-02FB-4B84-9727-436D893C5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1" name="Picture 1" descr="ALMASHRI_0">
          <a:extLst>
            <a:ext uri="{FF2B5EF4-FFF2-40B4-BE49-F238E27FC236}">
              <a16:creationId xmlns:a16="http://schemas.microsoft.com/office/drawing/2014/main" id="{F7A38300-66A8-4DD9-89AE-B8AD1259B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2" name="Picture 1" descr="ALMASHRI_0">
          <a:extLst>
            <a:ext uri="{FF2B5EF4-FFF2-40B4-BE49-F238E27FC236}">
              <a16:creationId xmlns:a16="http://schemas.microsoft.com/office/drawing/2014/main" id="{6F4C3C88-33EC-496B-957A-6672A2E19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3" name="Picture 1" descr="ALMASHRI_0">
          <a:extLst>
            <a:ext uri="{FF2B5EF4-FFF2-40B4-BE49-F238E27FC236}">
              <a16:creationId xmlns:a16="http://schemas.microsoft.com/office/drawing/2014/main" id="{B9582078-8904-4E31-81D1-15F81713F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4" name="Picture 1" descr="ALMASHRI_0">
          <a:extLst>
            <a:ext uri="{FF2B5EF4-FFF2-40B4-BE49-F238E27FC236}">
              <a16:creationId xmlns:a16="http://schemas.microsoft.com/office/drawing/2014/main" id="{ABE61462-260E-408A-9420-653E76654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5" name="Picture 1" descr="ALMASHRI_0">
          <a:extLst>
            <a:ext uri="{FF2B5EF4-FFF2-40B4-BE49-F238E27FC236}">
              <a16:creationId xmlns:a16="http://schemas.microsoft.com/office/drawing/2014/main" id="{C35846EB-5705-41ED-BCA5-C79A4C761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6" name="Picture 1" descr="ALMASHRI_0">
          <a:extLst>
            <a:ext uri="{FF2B5EF4-FFF2-40B4-BE49-F238E27FC236}">
              <a16:creationId xmlns:a16="http://schemas.microsoft.com/office/drawing/2014/main" id="{539FE6AC-439D-49D9-8441-CF2C8967D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7" name="Picture 1" descr="ALMASHRI_0">
          <a:extLst>
            <a:ext uri="{FF2B5EF4-FFF2-40B4-BE49-F238E27FC236}">
              <a16:creationId xmlns:a16="http://schemas.microsoft.com/office/drawing/2014/main" id="{4E80AC0F-6BD6-494A-BDA4-79897950D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8" name="Picture 1" descr="ALMASHRI_0">
          <a:extLst>
            <a:ext uri="{FF2B5EF4-FFF2-40B4-BE49-F238E27FC236}">
              <a16:creationId xmlns:a16="http://schemas.microsoft.com/office/drawing/2014/main" id="{AE8E8088-8D7F-4596-B111-508CF717E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59" name="Picture 1" descr="ALMASHRI_0">
          <a:extLst>
            <a:ext uri="{FF2B5EF4-FFF2-40B4-BE49-F238E27FC236}">
              <a16:creationId xmlns:a16="http://schemas.microsoft.com/office/drawing/2014/main" id="{41C78510-99B0-4BF8-8A17-13A392AC0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60" name="Picture 1" descr="ALMASHRI_0">
          <a:extLst>
            <a:ext uri="{FF2B5EF4-FFF2-40B4-BE49-F238E27FC236}">
              <a16:creationId xmlns:a16="http://schemas.microsoft.com/office/drawing/2014/main" id="{7B0B1199-0C69-4BB6-A8C7-E6C7A7C1F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561" name="Picture 1" descr="ALMASHRI_0">
          <a:extLst>
            <a:ext uri="{FF2B5EF4-FFF2-40B4-BE49-F238E27FC236}">
              <a16:creationId xmlns:a16="http://schemas.microsoft.com/office/drawing/2014/main" id="{A1F7060A-20CA-4607-8F21-9C319931B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2" name="Picture 1" descr="ALMASHRI_0">
          <a:extLst>
            <a:ext uri="{FF2B5EF4-FFF2-40B4-BE49-F238E27FC236}">
              <a16:creationId xmlns:a16="http://schemas.microsoft.com/office/drawing/2014/main" id="{2478810E-FF66-4EF0-96A5-973BB9FBE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3" name="Picture 1" descr="ALMASHRI_0">
          <a:extLst>
            <a:ext uri="{FF2B5EF4-FFF2-40B4-BE49-F238E27FC236}">
              <a16:creationId xmlns:a16="http://schemas.microsoft.com/office/drawing/2014/main" id="{0131CBAE-59AF-4F1B-80AF-4DBA0CECA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4" name="Picture 1" descr="ALMASHRI_0">
          <a:extLst>
            <a:ext uri="{FF2B5EF4-FFF2-40B4-BE49-F238E27FC236}">
              <a16:creationId xmlns:a16="http://schemas.microsoft.com/office/drawing/2014/main" id="{E7020A1C-F53C-408B-B211-005A38D67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5" name="Picture 1" descr="ALMASHRI_0">
          <a:extLst>
            <a:ext uri="{FF2B5EF4-FFF2-40B4-BE49-F238E27FC236}">
              <a16:creationId xmlns:a16="http://schemas.microsoft.com/office/drawing/2014/main" id="{47D79CF5-958C-49FF-A905-66DDCFBC6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6" name="Picture 1" descr="ALMASHRI_0">
          <a:extLst>
            <a:ext uri="{FF2B5EF4-FFF2-40B4-BE49-F238E27FC236}">
              <a16:creationId xmlns:a16="http://schemas.microsoft.com/office/drawing/2014/main" id="{0292CC82-036A-4CC3-8A2B-416B88161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7" name="Picture 1" descr="ALMASHRI_0">
          <a:extLst>
            <a:ext uri="{FF2B5EF4-FFF2-40B4-BE49-F238E27FC236}">
              <a16:creationId xmlns:a16="http://schemas.microsoft.com/office/drawing/2014/main" id="{CEEB1DA6-2CA0-40C0-9B51-200EBDBB9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8" name="Picture 1" descr="ALMASHRI_0">
          <a:extLst>
            <a:ext uri="{FF2B5EF4-FFF2-40B4-BE49-F238E27FC236}">
              <a16:creationId xmlns:a16="http://schemas.microsoft.com/office/drawing/2014/main" id="{70EC1EDF-010F-4004-88EF-FED4210F2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69" name="Picture 1" descr="ALMASHRI_0">
          <a:extLst>
            <a:ext uri="{FF2B5EF4-FFF2-40B4-BE49-F238E27FC236}">
              <a16:creationId xmlns:a16="http://schemas.microsoft.com/office/drawing/2014/main" id="{CBB44421-B9AD-418F-BE08-AF8C55FB7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0" name="Picture 1" descr="ALMASHRI_0">
          <a:extLst>
            <a:ext uri="{FF2B5EF4-FFF2-40B4-BE49-F238E27FC236}">
              <a16:creationId xmlns:a16="http://schemas.microsoft.com/office/drawing/2014/main" id="{764737EE-2BE0-49CA-AD4F-F30A584A9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1" name="Picture 1" descr="ALMASHRI_0">
          <a:extLst>
            <a:ext uri="{FF2B5EF4-FFF2-40B4-BE49-F238E27FC236}">
              <a16:creationId xmlns:a16="http://schemas.microsoft.com/office/drawing/2014/main" id="{013EFE6E-F8D9-4D62-910D-67530E81B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2" name="Picture 1" descr="ALMASHRI_0">
          <a:extLst>
            <a:ext uri="{FF2B5EF4-FFF2-40B4-BE49-F238E27FC236}">
              <a16:creationId xmlns:a16="http://schemas.microsoft.com/office/drawing/2014/main" id="{A0D116E5-DD7E-46EC-BE34-59EDA7664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3" name="Picture 1" descr="ALMASHRI_0">
          <a:extLst>
            <a:ext uri="{FF2B5EF4-FFF2-40B4-BE49-F238E27FC236}">
              <a16:creationId xmlns:a16="http://schemas.microsoft.com/office/drawing/2014/main" id="{4E1586C9-9296-4795-8EBA-468B29C2E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4" name="Picture 1" descr="ALMASHRI_0">
          <a:extLst>
            <a:ext uri="{FF2B5EF4-FFF2-40B4-BE49-F238E27FC236}">
              <a16:creationId xmlns:a16="http://schemas.microsoft.com/office/drawing/2014/main" id="{984D2DF3-C5DA-4F96-AFDF-0370F4234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5" name="Picture 1" descr="ALMASHRI_0">
          <a:extLst>
            <a:ext uri="{FF2B5EF4-FFF2-40B4-BE49-F238E27FC236}">
              <a16:creationId xmlns:a16="http://schemas.microsoft.com/office/drawing/2014/main" id="{8034D979-98E6-4839-9401-A628CE02D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6" name="Picture 1" descr="ALMASHRI_0">
          <a:extLst>
            <a:ext uri="{FF2B5EF4-FFF2-40B4-BE49-F238E27FC236}">
              <a16:creationId xmlns:a16="http://schemas.microsoft.com/office/drawing/2014/main" id="{2FC03B9E-8A9D-42E4-A9E6-F76D25DA3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577" name="Picture 1" descr="ALMASHRI_0">
          <a:extLst>
            <a:ext uri="{FF2B5EF4-FFF2-40B4-BE49-F238E27FC236}">
              <a16:creationId xmlns:a16="http://schemas.microsoft.com/office/drawing/2014/main" id="{B1BE68A1-9A33-4B90-96EA-1B851DD39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78" name="Picture 1" descr="ALMASHRI_0">
          <a:extLst>
            <a:ext uri="{FF2B5EF4-FFF2-40B4-BE49-F238E27FC236}">
              <a16:creationId xmlns:a16="http://schemas.microsoft.com/office/drawing/2014/main" id="{72F4B708-A7FC-4BAE-B8EE-FEB5CC967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79" name="Picture 1" descr="ALMASHRI_0">
          <a:extLst>
            <a:ext uri="{FF2B5EF4-FFF2-40B4-BE49-F238E27FC236}">
              <a16:creationId xmlns:a16="http://schemas.microsoft.com/office/drawing/2014/main" id="{BCFBF413-E6A6-40F4-A87E-1F2334D2B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0" name="Picture 1" descr="ALMASHRI_0">
          <a:extLst>
            <a:ext uri="{FF2B5EF4-FFF2-40B4-BE49-F238E27FC236}">
              <a16:creationId xmlns:a16="http://schemas.microsoft.com/office/drawing/2014/main" id="{F01EF0CF-754E-4593-B9B2-8C7A5B184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1" name="Picture 1" descr="ALMASHRI_0">
          <a:extLst>
            <a:ext uri="{FF2B5EF4-FFF2-40B4-BE49-F238E27FC236}">
              <a16:creationId xmlns:a16="http://schemas.microsoft.com/office/drawing/2014/main" id="{20336926-0254-416C-8222-EBA8BF79B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2" name="Picture 1" descr="ALMASHRI_0">
          <a:extLst>
            <a:ext uri="{FF2B5EF4-FFF2-40B4-BE49-F238E27FC236}">
              <a16:creationId xmlns:a16="http://schemas.microsoft.com/office/drawing/2014/main" id="{1B085C82-BA07-4D55-B0BA-F6E33D6EB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3" name="Picture 1" descr="ALMASHRI_0">
          <a:extLst>
            <a:ext uri="{FF2B5EF4-FFF2-40B4-BE49-F238E27FC236}">
              <a16:creationId xmlns:a16="http://schemas.microsoft.com/office/drawing/2014/main" id="{16891126-E913-464A-BE38-A785E7907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4" name="Picture 1" descr="ALMASHRI_0">
          <a:extLst>
            <a:ext uri="{FF2B5EF4-FFF2-40B4-BE49-F238E27FC236}">
              <a16:creationId xmlns:a16="http://schemas.microsoft.com/office/drawing/2014/main" id="{2CCC684A-4D10-44EB-B4E0-93009650A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5" name="Picture 1" descr="ALMASHRI_0">
          <a:extLst>
            <a:ext uri="{FF2B5EF4-FFF2-40B4-BE49-F238E27FC236}">
              <a16:creationId xmlns:a16="http://schemas.microsoft.com/office/drawing/2014/main" id="{205B97CC-4281-4DE8-A4D4-DF352C7DC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6" name="Picture 1" descr="ALMASHRI_0">
          <a:extLst>
            <a:ext uri="{FF2B5EF4-FFF2-40B4-BE49-F238E27FC236}">
              <a16:creationId xmlns:a16="http://schemas.microsoft.com/office/drawing/2014/main" id="{BFBBBDFF-4D55-490B-B639-A017B9587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7" name="Picture 1" descr="ALMASHRI_0">
          <a:extLst>
            <a:ext uri="{FF2B5EF4-FFF2-40B4-BE49-F238E27FC236}">
              <a16:creationId xmlns:a16="http://schemas.microsoft.com/office/drawing/2014/main" id="{53EA27CC-4B36-494D-94B2-22FCA8058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8" name="Picture 1" descr="ALMASHRI_0">
          <a:extLst>
            <a:ext uri="{FF2B5EF4-FFF2-40B4-BE49-F238E27FC236}">
              <a16:creationId xmlns:a16="http://schemas.microsoft.com/office/drawing/2014/main" id="{852868AC-1B8D-474A-AC69-433186BAE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89" name="Picture 1" descr="ALMASHRI_0">
          <a:extLst>
            <a:ext uri="{FF2B5EF4-FFF2-40B4-BE49-F238E27FC236}">
              <a16:creationId xmlns:a16="http://schemas.microsoft.com/office/drawing/2014/main" id="{65E263FC-4A65-4FF1-9C04-1C319309B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90" name="Picture 1" descr="ALMASHRI_0">
          <a:extLst>
            <a:ext uri="{FF2B5EF4-FFF2-40B4-BE49-F238E27FC236}">
              <a16:creationId xmlns:a16="http://schemas.microsoft.com/office/drawing/2014/main" id="{7015E18F-FAC1-4919-94B4-800C0B25B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91" name="Picture 1" descr="ALMASHRI_0">
          <a:extLst>
            <a:ext uri="{FF2B5EF4-FFF2-40B4-BE49-F238E27FC236}">
              <a16:creationId xmlns:a16="http://schemas.microsoft.com/office/drawing/2014/main" id="{6E019A5F-E611-49C7-A7C1-4EBE34457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92" name="Picture 1" descr="ALMASHRI_0">
          <a:extLst>
            <a:ext uri="{FF2B5EF4-FFF2-40B4-BE49-F238E27FC236}">
              <a16:creationId xmlns:a16="http://schemas.microsoft.com/office/drawing/2014/main" id="{FC3FA322-617B-4677-ADB7-24F8211A2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593" name="Picture 1" descr="ALMASHRI_0">
          <a:extLst>
            <a:ext uri="{FF2B5EF4-FFF2-40B4-BE49-F238E27FC236}">
              <a16:creationId xmlns:a16="http://schemas.microsoft.com/office/drawing/2014/main" id="{3D2A95E7-CBEA-44FD-8C1B-D9F94C71D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594" name="Picture 1" descr="ALMASHRI_0">
          <a:extLst>
            <a:ext uri="{FF2B5EF4-FFF2-40B4-BE49-F238E27FC236}">
              <a16:creationId xmlns:a16="http://schemas.microsoft.com/office/drawing/2014/main" id="{CD998A59-AB64-49D2-B7AA-4E5A429DB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595" name="Picture 1" descr="ALMASHRI_0">
          <a:extLst>
            <a:ext uri="{FF2B5EF4-FFF2-40B4-BE49-F238E27FC236}">
              <a16:creationId xmlns:a16="http://schemas.microsoft.com/office/drawing/2014/main" id="{F352E06F-10A6-4E06-AA5E-49DF4F229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596" name="Picture 1" descr="ALMASHRI_0">
          <a:extLst>
            <a:ext uri="{FF2B5EF4-FFF2-40B4-BE49-F238E27FC236}">
              <a16:creationId xmlns:a16="http://schemas.microsoft.com/office/drawing/2014/main" id="{F0E2C329-B086-413F-AE6F-FD1C52AA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597" name="Picture 1" descr="ALMASHRI_0">
          <a:extLst>
            <a:ext uri="{FF2B5EF4-FFF2-40B4-BE49-F238E27FC236}">
              <a16:creationId xmlns:a16="http://schemas.microsoft.com/office/drawing/2014/main" id="{42890E47-49B3-4295-B573-F7630D47B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598" name="Picture 1" descr="ALMASHRI_0">
          <a:extLst>
            <a:ext uri="{FF2B5EF4-FFF2-40B4-BE49-F238E27FC236}">
              <a16:creationId xmlns:a16="http://schemas.microsoft.com/office/drawing/2014/main" id="{A6ACF4ED-9BF3-41F5-8340-A46535725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599" name="Picture 1" descr="ALMASHRI_0">
          <a:extLst>
            <a:ext uri="{FF2B5EF4-FFF2-40B4-BE49-F238E27FC236}">
              <a16:creationId xmlns:a16="http://schemas.microsoft.com/office/drawing/2014/main" id="{BE3F7325-C5C0-4BBC-9C57-ED2E70BA2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0" name="Picture 1" descr="ALMASHRI_0">
          <a:extLst>
            <a:ext uri="{FF2B5EF4-FFF2-40B4-BE49-F238E27FC236}">
              <a16:creationId xmlns:a16="http://schemas.microsoft.com/office/drawing/2014/main" id="{9AED50BE-5025-4AA4-9FCB-57B13DAC1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1" name="Picture 1" descr="ALMASHRI_0">
          <a:extLst>
            <a:ext uri="{FF2B5EF4-FFF2-40B4-BE49-F238E27FC236}">
              <a16:creationId xmlns:a16="http://schemas.microsoft.com/office/drawing/2014/main" id="{212012CA-0FF4-4F65-ACEB-1F5E5A9BE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2" name="Picture 1" descr="ALMASHRI_0">
          <a:extLst>
            <a:ext uri="{FF2B5EF4-FFF2-40B4-BE49-F238E27FC236}">
              <a16:creationId xmlns:a16="http://schemas.microsoft.com/office/drawing/2014/main" id="{41E14201-C2D9-4ED4-B2D5-B780CD8E4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3" name="Picture 1" descr="ALMASHRI_0">
          <a:extLst>
            <a:ext uri="{FF2B5EF4-FFF2-40B4-BE49-F238E27FC236}">
              <a16:creationId xmlns:a16="http://schemas.microsoft.com/office/drawing/2014/main" id="{F53FA486-6763-4648-B83D-2C580CD9E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4" name="Picture 1" descr="ALMASHRI_0">
          <a:extLst>
            <a:ext uri="{FF2B5EF4-FFF2-40B4-BE49-F238E27FC236}">
              <a16:creationId xmlns:a16="http://schemas.microsoft.com/office/drawing/2014/main" id="{26377AC7-233E-4D4D-87E7-BC24FE75C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5" name="Picture 1" descr="ALMASHRI_0">
          <a:extLst>
            <a:ext uri="{FF2B5EF4-FFF2-40B4-BE49-F238E27FC236}">
              <a16:creationId xmlns:a16="http://schemas.microsoft.com/office/drawing/2014/main" id="{AE9DC818-D725-4D95-AAF3-D246959E1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6" name="Picture 1" descr="ALMASHRI_0">
          <a:extLst>
            <a:ext uri="{FF2B5EF4-FFF2-40B4-BE49-F238E27FC236}">
              <a16:creationId xmlns:a16="http://schemas.microsoft.com/office/drawing/2014/main" id="{5EE2091D-755E-493B-B0E5-EBFC42FCB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7" name="Picture 1" descr="ALMASHRI_0">
          <a:extLst>
            <a:ext uri="{FF2B5EF4-FFF2-40B4-BE49-F238E27FC236}">
              <a16:creationId xmlns:a16="http://schemas.microsoft.com/office/drawing/2014/main" id="{4F740382-209D-49F9-B8DF-81815175C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8" name="Picture 1" descr="ALMASHRI_0">
          <a:extLst>
            <a:ext uri="{FF2B5EF4-FFF2-40B4-BE49-F238E27FC236}">
              <a16:creationId xmlns:a16="http://schemas.microsoft.com/office/drawing/2014/main" id="{7A927646-88B3-4260-BC99-2DCABF6A4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609" name="Picture 1" descr="ALMASHRI_0">
          <a:extLst>
            <a:ext uri="{FF2B5EF4-FFF2-40B4-BE49-F238E27FC236}">
              <a16:creationId xmlns:a16="http://schemas.microsoft.com/office/drawing/2014/main" id="{96EEAAE7-81A4-4C7A-BBCB-7CC8F9F75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0" name="Picture 1" descr="ALMASHRI_0">
          <a:extLst>
            <a:ext uri="{FF2B5EF4-FFF2-40B4-BE49-F238E27FC236}">
              <a16:creationId xmlns:a16="http://schemas.microsoft.com/office/drawing/2014/main" id="{445F4ED2-9CBF-49E3-9BA4-274F01B1D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1" name="Picture 1" descr="ALMASHRI_0">
          <a:extLst>
            <a:ext uri="{FF2B5EF4-FFF2-40B4-BE49-F238E27FC236}">
              <a16:creationId xmlns:a16="http://schemas.microsoft.com/office/drawing/2014/main" id="{DF13ECBC-CF37-4374-9CF2-90DE38D25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2" name="Picture 1" descr="ALMASHRI_0">
          <a:extLst>
            <a:ext uri="{FF2B5EF4-FFF2-40B4-BE49-F238E27FC236}">
              <a16:creationId xmlns:a16="http://schemas.microsoft.com/office/drawing/2014/main" id="{13550640-597E-4AE6-BCD8-C208CA12E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3" name="Picture 1" descr="ALMASHRI_0">
          <a:extLst>
            <a:ext uri="{FF2B5EF4-FFF2-40B4-BE49-F238E27FC236}">
              <a16:creationId xmlns:a16="http://schemas.microsoft.com/office/drawing/2014/main" id="{7E891BA3-8DE5-4FC3-84E8-D531C7F81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4" name="Picture 1" descr="ALMASHRI_0">
          <a:extLst>
            <a:ext uri="{FF2B5EF4-FFF2-40B4-BE49-F238E27FC236}">
              <a16:creationId xmlns:a16="http://schemas.microsoft.com/office/drawing/2014/main" id="{124D48F8-5977-488A-AC0D-A083AD9CE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5" name="Picture 1" descr="ALMASHRI_0">
          <a:extLst>
            <a:ext uri="{FF2B5EF4-FFF2-40B4-BE49-F238E27FC236}">
              <a16:creationId xmlns:a16="http://schemas.microsoft.com/office/drawing/2014/main" id="{F25A47E3-8B6A-442D-80D8-071E45A4B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6" name="Picture 1" descr="ALMASHRI_0">
          <a:extLst>
            <a:ext uri="{FF2B5EF4-FFF2-40B4-BE49-F238E27FC236}">
              <a16:creationId xmlns:a16="http://schemas.microsoft.com/office/drawing/2014/main" id="{7FA56FC5-FE0A-4558-8231-302C89E50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7" name="Picture 1" descr="ALMASHRI_0">
          <a:extLst>
            <a:ext uri="{FF2B5EF4-FFF2-40B4-BE49-F238E27FC236}">
              <a16:creationId xmlns:a16="http://schemas.microsoft.com/office/drawing/2014/main" id="{9639F67B-1027-495C-92CF-6D5C6D93B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8" name="Picture 1" descr="ALMASHRI_0">
          <a:extLst>
            <a:ext uri="{FF2B5EF4-FFF2-40B4-BE49-F238E27FC236}">
              <a16:creationId xmlns:a16="http://schemas.microsoft.com/office/drawing/2014/main" id="{C33B5475-24B9-416B-A3E1-CA6C38E51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19" name="Picture 1" descr="ALMASHRI_0">
          <a:extLst>
            <a:ext uri="{FF2B5EF4-FFF2-40B4-BE49-F238E27FC236}">
              <a16:creationId xmlns:a16="http://schemas.microsoft.com/office/drawing/2014/main" id="{0A5DFDA7-D996-4290-82C1-2875F579A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20" name="Picture 1" descr="ALMASHRI_0">
          <a:extLst>
            <a:ext uri="{FF2B5EF4-FFF2-40B4-BE49-F238E27FC236}">
              <a16:creationId xmlns:a16="http://schemas.microsoft.com/office/drawing/2014/main" id="{7EB992BC-0465-4680-BEAA-4C7F98C75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21" name="Picture 1" descr="ALMASHRI_0">
          <a:extLst>
            <a:ext uri="{FF2B5EF4-FFF2-40B4-BE49-F238E27FC236}">
              <a16:creationId xmlns:a16="http://schemas.microsoft.com/office/drawing/2014/main" id="{7471ED4E-2510-4DD1-8ABB-F8313B731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22" name="Picture 1" descr="ALMASHRI_0">
          <a:extLst>
            <a:ext uri="{FF2B5EF4-FFF2-40B4-BE49-F238E27FC236}">
              <a16:creationId xmlns:a16="http://schemas.microsoft.com/office/drawing/2014/main" id="{3956A25D-D80F-4E0E-8B14-F81A63349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23" name="Picture 1" descr="ALMASHRI_0">
          <a:extLst>
            <a:ext uri="{FF2B5EF4-FFF2-40B4-BE49-F238E27FC236}">
              <a16:creationId xmlns:a16="http://schemas.microsoft.com/office/drawing/2014/main" id="{468950A5-8733-43D5-A828-915C37C31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24" name="Picture 1" descr="ALMASHRI_0">
          <a:extLst>
            <a:ext uri="{FF2B5EF4-FFF2-40B4-BE49-F238E27FC236}">
              <a16:creationId xmlns:a16="http://schemas.microsoft.com/office/drawing/2014/main" id="{CF509473-07DB-4007-98F2-8DC1AED58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25" name="Picture 1" descr="ALMASHRI_0">
          <a:extLst>
            <a:ext uri="{FF2B5EF4-FFF2-40B4-BE49-F238E27FC236}">
              <a16:creationId xmlns:a16="http://schemas.microsoft.com/office/drawing/2014/main" id="{23A2E15D-FCA7-4C0B-B445-63663CA96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26" name="Picture 1" descr="ALMASHRI_0">
          <a:extLst>
            <a:ext uri="{FF2B5EF4-FFF2-40B4-BE49-F238E27FC236}">
              <a16:creationId xmlns:a16="http://schemas.microsoft.com/office/drawing/2014/main" id="{1C271888-674B-45C3-BC76-701DCEA00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27" name="Picture 1" descr="ALMASHRI_0">
          <a:extLst>
            <a:ext uri="{FF2B5EF4-FFF2-40B4-BE49-F238E27FC236}">
              <a16:creationId xmlns:a16="http://schemas.microsoft.com/office/drawing/2014/main" id="{82792219-A1F6-4A45-88CD-FDEAC3501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28" name="Picture 1" descr="ALMASHRI_0">
          <a:extLst>
            <a:ext uri="{FF2B5EF4-FFF2-40B4-BE49-F238E27FC236}">
              <a16:creationId xmlns:a16="http://schemas.microsoft.com/office/drawing/2014/main" id="{C1222577-A88C-4785-BD83-66D5C02BB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29" name="Picture 1" descr="ALMASHRI_0">
          <a:extLst>
            <a:ext uri="{FF2B5EF4-FFF2-40B4-BE49-F238E27FC236}">
              <a16:creationId xmlns:a16="http://schemas.microsoft.com/office/drawing/2014/main" id="{DD50E5DD-D3BA-4F73-80E8-27F5BCA79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0" name="Picture 1" descr="ALMASHRI_0">
          <a:extLst>
            <a:ext uri="{FF2B5EF4-FFF2-40B4-BE49-F238E27FC236}">
              <a16:creationId xmlns:a16="http://schemas.microsoft.com/office/drawing/2014/main" id="{5CE33585-F134-4C9C-8671-02F1F9916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1" name="Picture 1" descr="ALMASHRI_0">
          <a:extLst>
            <a:ext uri="{FF2B5EF4-FFF2-40B4-BE49-F238E27FC236}">
              <a16:creationId xmlns:a16="http://schemas.microsoft.com/office/drawing/2014/main" id="{1C978E9F-2A25-4ACD-8301-2B2E4CC28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2" name="Picture 1" descr="ALMASHRI_0">
          <a:extLst>
            <a:ext uri="{FF2B5EF4-FFF2-40B4-BE49-F238E27FC236}">
              <a16:creationId xmlns:a16="http://schemas.microsoft.com/office/drawing/2014/main" id="{8E469ECD-F923-4E91-A195-F62F3E177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3" name="Picture 1" descr="ALMASHRI_0">
          <a:extLst>
            <a:ext uri="{FF2B5EF4-FFF2-40B4-BE49-F238E27FC236}">
              <a16:creationId xmlns:a16="http://schemas.microsoft.com/office/drawing/2014/main" id="{5D206DC9-456B-4B07-8686-6CB55EC5D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4" name="Picture 1" descr="ALMASHRI_0">
          <a:extLst>
            <a:ext uri="{FF2B5EF4-FFF2-40B4-BE49-F238E27FC236}">
              <a16:creationId xmlns:a16="http://schemas.microsoft.com/office/drawing/2014/main" id="{F0D0583D-9735-4159-9A94-6BF6B0853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5" name="Picture 1" descr="ALMASHRI_0">
          <a:extLst>
            <a:ext uri="{FF2B5EF4-FFF2-40B4-BE49-F238E27FC236}">
              <a16:creationId xmlns:a16="http://schemas.microsoft.com/office/drawing/2014/main" id="{BAF2A8FA-789F-4E64-87E8-B00080EE7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6" name="Picture 1" descr="ALMASHRI_0">
          <a:extLst>
            <a:ext uri="{FF2B5EF4-FFF2-40B4-BE49-F238E27FC236}">
              <a16:creationId xmlns:a16="http://schemas.microsoft.com/office/drawing/2014/main" id="{1D3DC0C7-DB19-4159-A400-7F00E9DAB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7" name="Picture 1" descr="ALMASHRI_0">
          <a:extLst>
            <a:ext uri="{FF2B5EF4-FFF2-40B4-BE49-F238E27FC236}">
              <a16:creationId xmlns:a16="http://schemas.microsoft.com/office/drawing/2014/main" id="{94C1650A-4DE1-4468-AB5E-9AFBCB95C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8" name="Picture 1" descr="ALMASHRI_0">
          <a:extLst>
            <a:ext uri="{FF2B5EF4-FFF2-40B4-BE49-F238E27FC236}">
              <a16:creationId xmlns:a16="http://schemas.microsoft.com/office/drawing/2014/main" id="{F69F8E49-92DD-4CBA-A69C-3B22B6ED7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39" name="Picture 1" descr="ALMASHRI_0">
          <a:extLst>
            <a:ext uri="{FF2B5EF4-FFF2-40B4-BE49-F238E27FC236}">
              <a16:creationId xmlns:a16="http://schemas.microsoft.com/office/drawing/2014/main" id="{E57DD76B-BD93-4B69-9311-F39994AA2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40" name="Picture 1" descr="ALMASHRI_0">
          <a:extLst>
            <a:ext uri="{FF2B5EF4-FFF2-40B4-BE49-F238E27FC236}">
              <a16:creationId xmlns:a16="http://schemas.microsoft.com/office/drawing/2014/main" id="{3728E54C-BE85-440C-AE74-2B79E87D0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41" name="Picture 1" descr="ALMASHRI_0">
          <a:extLst>
            <a:ext uri="{FF2B5EF4-FFF2-40B4-BE49-F238E27FC236}">
              <a16:creationId xmlns:a16="http://schemas.microsoft.com/office/drawing/2014/main" id="{C53A045F-CDD9-49AD-AF9F-141D3F555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42" name="Picture 1" descr="ALMASHRI_0">
          <a:extLst>
            <a:ext uri="{FF2B5EF4-FFF2-40B4-BE49-F238E27FC236}">
              <a16:creationId xmlns:a16="http://schemas.microsoft.com/office/drawing/2014/main" id="{C6E03A1E-8948-49F6-A801-FDF1241A9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43" name="Picture 1" descr="ALMASHRI_0">
          <a:extLst>
            <a:ext uri="{FF2B5EF4-FFF2-40B4-BE49-F238E27FC236}">
              <a16:creationId xmlns:a16="http://schemas.microsoft.com/office/drawing/2014/main" id="{1E42AE34-85E5-469F-8F29-D32F0AE3A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44" name="Picture 1" descr="ALMASHRI_0">
          <a:extLst>
            <a:ext uri="{FF2B5EF4-FFF2-40B4-BE49-F238E27FC236}">
              <a16:creationId xmlns:a16="http://schemas.microsoft.com/office/drawing/2014/main" id="{BC7D5482-5F5B-4CC0-8269-4041634CC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45" name="Picture 1" descr="ALMASHRI_0">
          <a:extLst>
            <a:ext uri="{FF2B5EF4-FFF2-40B4-BE49-F238E27FC236}">
              <a16:creationId xmlns:a16="http://schemas.microsoft.com/office/drawing/2014/main" id="{103E6006-2E9A-43A3-9136-7022B75CA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46" name="Picture 1" descr="ALMASHRI_0">
          <a:extLst>
            <a:ext uri="{FF2B5EF4-FFF2-40B4-BE49-F238E27FC236}">
              <a16:creationId xmlns:a16="http://schemas.microsoft.com/office/drawing/2014/main" id="{68E07B76-0591-4345-AB50-7510DD763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47" name="Picture 1" descr="ALMASHRI_0">
          <a:extLst>
            <a:ext uri="{FF2B5EF4-FFF2-40B4-BE49-F238E27FC236}">
              <a16:creationId xmlns:a16="http://schemas.microsoft.com/office/drawing/2014/main" id="{A04DC6AC-6712-4B91-919D-2C4733B93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48" name="Picture 1" descr="ALMASHRI_0">
          <a:extLst>
            <a:ext uri="{FF2B5EF4-FFF2-40B4-BE49-F238E27FC236}">
              <a16:creationId xmlns:a16="http://schemas.microsoft.com/office/drawing/2014/main" id="{385FAE94-B6F7-4376-8C31-120D2FD88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49" name="Picture 1" descr="ALMASHRI_0">
          <a:extLst>
            <a:ext uri="{FF2B5EF4-FFF2-40B4-BE49-F238E27FC236}">
              <a16:creationId xmlns:a16="http://schemas.microsoft.com/office/drawing/2014/main" id="{A0C71ABB-C93D-44EC-BCAC-E4E44D784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50" name="Picture 1" descr="ALMASHRI_0">
          <a:extLst>
            <a:ext uri="{FF2B5EF4-FFF2-40B4-BE49-F238E27FC236}">
              <a16:creationId xmlns:a16="http://schemas.microsoft.com/office/drawing/2014/main" id="{B28B5273-9330-43AF-A763-92C7FF8F2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51" name="Picture 1" descr="ALMASHRI_0">
          <a:extLst>
            <a:ext uri="{FF2B5EF4-FFF2-40B4-BE49-F238E27FC236}">
              <a16:creationId xmlns:a16="http://schemas.microsoft.com/office/drawing/2014/main" id="{AA4A3181-981C-422F-94BE-B60FE3964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52" name="Picture 1" descr="ALMASHRI_0">
          <a:extLst>
            <a:ext uri="{FF2B5EF4-FFF2-40B4-BE49-F238E27FC236}">
              <a16:creationId xmlns:a16="http://schemas.microsoft.com/office/drawing/2014/main" id="{F3DD3F51-D98E-4D01-ADD5-8C8385894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53" name="Picture 1" descr="ALMASHRI_0">
          <a:extLst>
            <a:ext uri="{FF2B5EF4-FFF2-40B4-BE49-F238E27FC236}">
              <a16:creationId xmlns:a16="http://schemas.microsoft.com/office/drawing/2014/main" id="{6448EF43-384E-4EF6-85F9-834CF8939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54" name="Picture 1" descr="ALMASHRI_0">
          <a:extLst>
            <a:ext uri="{FF2B5EF4-FFF2-40B4-BE49-F238E27FC236}">
              <a16:creationId xmlns:a16="http://schemas.microsoft.com/office/drawing/2014/main" id="{2AE2E6D8-F8BC-44CD-8AC2-E822FC961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55" name="Picture 1" descr="ALMASHRI_0">
          <a:extLst>
            <a:ext uri="{FF2B5EF4-FFF2-40B4-BE49-F238E27FC236}">
              <a16:creationId xmlns:a16="http://schemas.microsoft.com/office/drawing/2014/main" id="{F543BA39-7120-4D8C-99EA-C7CA93AD7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56" name="Picture 1" descr="ALMASHRI_0">
          <a:extLst>
            <a:ext uri="{FF2B5EF4-FFF2-40B4-BE49-F238E27FC236}">
              <a16:creationId xmlns:a16="http://schemas.microsoft.com/office/drawing/2014/main" id="{E3472793-0443-420E-B581-36DDC5AD4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657" name="Picture 1" descr="ALMASHRI_0">
          <a:extLst>
            <a:ext uri="{FF2B5EF4-FFF2-40B4-BE49-F238E27FC236}">
              <a16:creationId xmlns:a16="http://schemas.microsoft.com/office/drawing/2014/main" id="{C9054834-E8FE-41F7-96E5-11CC6FADF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58" name="Picture 1" descr="ALMASHRI_0">
          <a:extLst>
            <a:ext uri="{FF2B5EF4-FFF2-40B4-BE49-F238E27FC236}">
              <a16:creationId xmlns:a16="http://schemas.microsoft.com/office/drawing/2014/main" id="{7801BF91-6CDA-4DC2-86CA-72AF7A48C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59" name="Picture 1" descr="ALMASHRI_0">
          <a:extLst>
            <a:ext uri="{FF2B5EF4-FFF2-40B4-BE49-F238E27FC236}">
              <a16:creationId xmlns:a16="http://schemas.microsoft.com/office/drawing/2014/main" id="{6EC881C3-518B-49E0-94D0-2615DC686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0" name="Picture 1" descr="ALMASHRI_0">
          <a:extLst>
            <a:ext uri="{FF2B5EF4-FFF2-40B4-BE49-F238E27FC236}">
              <a16:creationId xmlns:a16="http://schemas.microsoft.com/office/drawing/2014/main" id="{C6CC8BEF-CD5B-4FAC-9A0C-8C215B43F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1" name="Picture 1" descr="ALMASHRI_0">
          <a:extLst>
            <a:ext uri="{FF2B5EF4-FFF2-40B4-BE49-F238E27FC236}">
              <a16:creationId xmlns:a16="http://schemas.microsoft.com/office/drawing/2014/main" id="{07F9E0E1-0F1D-4952-90C1-2A92BE1E7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2" name="Picture 1" descr="ALMASHRI_0">
          <a:extLst>
            <a:ext uri="{FF2B5EF4-FFF2-40B4-BE49-F238E27FC236}">
              <a16:creationId xmlns:a16="http://schemas.microsoft.com/office/drawing/2014/main" id="{BE489C3E-9878-4718-99DD-9AE301085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3" name="Picture 1" descr="ALMASHRI_0">
          <a:extLst>
            <a:ext uri="{FF2B5EF4-FFF2-40B4-BE49-F238E27FC236}">
              <a16:creationId xmlns:a16="http://schemas.microsoft.com/office/drawing/2014/main" id="{7F368B57-69E6-43F5-92D3-F49BC834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4" name="Picture 1" descr="ALMASHRI_0">
          <a:extLst>
            <a:ext uri="{FF2B5EF4-FFF2-40B4-BE49-F238E27FC236}">
              <a16:creationId xmlns:a16="http://schemas.microsoft.com/office/drawing/2014/main" id="{30DEA20D-CC14-4115-BA71-A49E1471A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5" name="Picture 1" descr="ALMASHRI_0">
          <a:extLst>
            <a:ext uri="{FF2B5EF4-FFF2-40B4-BE49-F238E27FC236}">
              <a16:creationId xmlns:a16="http://schemas.microsoft.com/office/drawing/2014/main" id="{58898CB3-1DB8-4146-B951-75060F20A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6" name="Picture 1" descr="ALMASHRI_0">
          <a:extLst>
            <a:ext uri="{FF2B5EF4-FFF2-40B4-BE49-F238E27FC236}">
              <a16:creationId xmlns:a16="http://schemas.microsoft.com/office/drawing/2014/main" id="{A1DBE2ED-21F0-477B-B8D3-A37502D3E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7" name="Picture 1" descr="ALMASHRI_0">
          <a:extLst>
            <a:ext uri="{FF2B5EF4-FFF2-40B4-BE49-F238E27FC236}">
              <a16:creationId xmlns:a16="http://schemas.microsoft.com/office/drawing/2014/main" id="{69F6FF5F-CDFA-46E9-A4EF-3AA67ADA4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8" name="Picture 1" descr="ALMASHRI_0">
          <a:extLst>
            <a:ext uri="{FF2B5EF4-FFF2-40B4-BE49-F238E27FC236}">
              <a16:creationId xmlns:a16="http://schemas.microsoft.com/office/drawing/2014/main" id="{F0812CBD-1744-4140-A6F7-4259D958F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69" name="Picture 1" descr="ALMASHRI_0">
          <a:extLst>
            <a:ext uri="{FF2B5EF4-FFF2-40B4-BE49-F238E27FC236}">
              <a16:creationId xmlns:a16="http://schemas.microsoft.com/office/drawing/2014/main" id="{19F10920-1D87-4E38-9A50-C3F5AE6C2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70" name="Picture 1" descr="ALMASHRI_0">
          <a:extLst>
            <a:ext uri="{FF2B5EF4-FFF2-40B4-BE49-F238E27FC236}">
              <a16:creationId xmlns:a16="http://schemas.microsoft.com/office/drawing/2014/main" id="{48C13831-B7A7-48B0-BA09-B7FA4C6C2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71" name="Picture 1" descr="ALMASHRI_0">
          <a:extLst>
            <a:ext uri="{FF2B5EF4-FFF2-40B4-BE49-F238E27FC236}">
              <a16:creationId xmlns:a16="http://schemas.microsoft.com/office/drawing/2014/main" id="{26973836-8EDA-4F93-AAA7-B7C5532EB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72" name="Picture 1" descr="ALMASHRI_0">
          <a:extLst>
            <a:ext uri="{FF2B5EF4-FFF2-40B4-BE49-F238E27FC236}">
              <a16:creationId xmlns:a16="http://schemas.microsoft.com/office/drawing/2014/main" id="{6C1E993E-AB73-45E2-940B-DD3C8DFE0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673" name="Picture 1" descr="ALMASHRI_0">
          <a:extLst>
            <a:ext uri="{FF2B5EF4-FFF2-40B4-BE49-F238E27FC236}">
              <a16:creationId xmlns:a16="http://schemas.microsoft.com/office/drawing/2014/main" id="{07A78BB8-9E34-46D8-80CC-9A44DA2AE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74" name="Picture 1" descr="ALMASHRI_0">
          <a:extLst>
            <a:ext uri="{FF2B5EF4-FFF2-40B4-BE49-F238E27FC236}">
              <a16:creationId xmlns:a16="http://schemas.microsoft.com/office/drawing/2014/main" id="{179D2898-9EB1-4D24-B358-FE9973942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75" name="Picture 1" descr="ALMASHRI_0">
          <a:extLst>
            <a:ext uri="{FF2B5EF4-FFF2-40B4-BE49-F238E27FC236}">
              <a16:creationId xmlns:a16="http://schemas.microsoft.com/office/drawing/2014/main" id="{E8E26F3E-24CD-44D4-BCC0-884EA4C69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76" name="Picture 1" descr="ALMASHRI_0">
          <a:extLst>
            <a:ext uri="{FF2B5EF4-FFF2-40B4-BE49-F238E27FC236}">
              <a16:creationId xmlns:a16="http://schemas.microsoft.com/office/drawing/2014/main" id="{44531876-C7B3-4C81-93D6-1A8096AB0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77" name="Picture 1" descr="ALMASHRI_0">
          <a:extLst>
            <a:ext uri="{FF2B5EF4-FFF2-40B4-BE49-F238E27FC236}">
              <a16:creationId xmlns:a16="http://schemas.microsoft.com/office/drawing/2014/main" id="{2CD8E904-3D3B-4767-8D74-C31660D1E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78" name="Picture 1" descr="ALMASHRI_0">
          <a:extLst>
            <a:ext uri="{FF2B5EF4-FFF2-40B4-BE49-F238E27FC236}">
              <a16:creationId xmlns:a16="http://schemas.microsoft.com/office/drawing/2014/main" id="{FEA07248-4D86-48D0-A612-B68E409FD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79" name="Picture 1" descr="ALMASHRI_0">
          <a:extLst>
            <a:ext uri="{FF2B5EF4-FFF2-40B4-BE49-F238E27FC236}">
              <a16:creationId xmlns:a16="http://schemas.microsoft.com/office/drawing/2014/main" id="{FB1A7AC5-2659-480F-BAA5-292C4D4A5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0" name="Picture 1" descr="ALMASHRI_0">
          <a:extLst>
            <a:ext uri="{FF2B5EF4-FFF2-40B4-BE49-F238E27FC236}">
              <a16:creationId xmlns:a16="http://schemas.microsoft.com/office/drawing/2014/main" id="{C02B97BA-96C5-4A2E-B9BE-77819B783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1" name="Picture 1" descr="ALMASHRI_0">
          <a:extLst>
            <a:ext uri="{FF2B5EF4-FFF2-40B4-BE49-F238E27FC236}">
              <a16:creationId xmlns:a16="http://schemas.microsoft.com/office/drawing/2014/main" id="{06311293-D584-48FC-A689-266C63771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2" name="Picture 1" descr="ALMASHRI_0">
          <a:extLst>
            <a:ext uri="{FF2B5EF4-FFF2-40B4-BE49-F238E27FC236}">
              <a16:creationId xmlns:a16="http://schemas.microsoft.com/office/drawing/2014/main" id="{D4EF59AF-36B0-40E9-9B16-06003C418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3" name="Picture 1" descr="ALMASHRI_0">
          <a:extLst>
            <a:ext uri="{FF2B5EF4-FFF2-40B4-BE49-F238E27FC236}">
              <a16:creationId xmlns:a16="http://schemas.microsoft.com/office/drawing/2014/main" id="{61DEF57A-9CD0-4FF6-9F61-6285640C5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4" name="Picture 1" descr="ALMASHRI_0">
          <a:extLst>
            <a:ext uri="{FF2B5EF4-FFF2-40B4-BE49-F238E27FC236}">
              <a16:creationId xmlns:a16="http://schemas.microsoft.com/office/drawing/2014/main" id="{68E2B8B2-C9D8-4D91-A594-46369BA09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5" name="Picture 1" descr="ALMASHRI_0">
          <a:extLst>
            <a:ext uri="{FF2B5EF4-FFF2-40B4-BE49-F238E27FC236}">
              <a16:creationId xmlns:a16="http://schemas.microsoft.com/office/drawing/2014/main" id="{5E509CC6-C44C-408C-B6A3-3E9D615E4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6" name="Picture 1" descr="ALMASHRI_0">
          <a:extLst>
            <a:ext uri="{FF2B5EF4-FFF2-40B4-BE49-F238E27FC236}">
              <a16:creationId xmlns:a16="http://schemas.microsoft.com/office/drawing/2014/main" id="{43D5B5A9-6835-4C6D-823B-0E195049D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7" name="Picture 1" descr="ALMASHRI_0">
          <a:extLst>
            <a:ext uri="{FF2B5EF4-FFF2-40B4-BE49-F238E27FC236}">
              <a16:creationId xmlns:a16="http://schemas.microsoft.com/office/drawing/2014/main" id="{891096FF-5224-4BB6-AFB3-BA6B7A727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8" name="Picture 1" descr="ALMASHRI_0">
          <a:extLst>
            <a:ext uri="{FF2B5EF4-FFF2-40B4-BE49-F238E27FC236}">
              <a16:creationId xmlns:a16="http://schemas.microsoft.com/office/drawing/2014/main" id="{0452D650-D948-4C89-A5E1-BA21A71FD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689" name="Picture 1" descr="ALMASHRI_0">
          <a:extLst>
            <a:ext uri="{FF2B5EF4-FFF2-40B4-BE49-F238E27FC236}">
              <a16:creationId xmlns:a16="http://schemas.microsoft.com/office/drawing/2014/main" id="{E2B1B1C3-8F0F-4454-9059-F6C46782E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0" name="Picture 1" descr="ALMASHRI_0">
          <a:extLst>
            <a:ext uri="{FF2B5EF4-FFF2-40B4-BE49-F238E27FC236}">
              <a16:creationId xmlns:a16="http://schemas.microsoft.com/office/drawing/2014/main" id="{CC9E3E08-F465-4466-B10A-765C8D245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1" name="Picture 1" descr="ALMASHRI_0">
          <a:extLst>
            <a:ext uri="{FF2B5EF4-FFF2-40B4-BE49-F238E27FC236}">
              <a16:creationId xmlns:a16="http://schemas.microsoft.com/office/drawing/2014/main" id="{0649C040-312D-4A63-A0B0-48AD1AA75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2" name="Picture 1" descr="ALMASHRI_0">
          <a:extLst>
            <a:ext uri="{FF2B5EF4-FFF2-40B4-BE49-F238E27FC236}">
              <a16:creationId xmlns:a16="http://schemas.microsoft.com/office/drawing/2014/main" id="{659B04C2-A93E-4440-BEA0-A15D530DF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3" name="Picture 1" descr="ALMASHRI_0">
          <a:extLst>
            <a:ext uri="{FF2B5EF4-FFF2-40B4-BE49-F238E27FC236}">
              <a16:creationId xmlns:a16="http://schemas.microsoft.com/office/drawing/2014/main" id="{9A4E9FFC-1D7F-49E0-8F8D-4A7A287DA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4" name="Picture 1" descr="ALMASHRI_0">
          <a:extLst>
            <a:ext uri="{FF2B5EF4-FFF2-40B4-BE49-F238E27FC236}">
              <a16:creationId xmlns:a16="http://schemas.microsoft.com/office/drawing/2014/main" id="{CABDBE3C-B297-4DB5-AD8A-E2EE18CAF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5" name="Picture 1" descr="ALMASHRI_0">
          <a:extLst>
            <a:ext uri="{FF2B5EF4-FFF2-40B4-BE49-F238E27FC236}">
              <a16:creationId xmlns:a16="http://schemas.microsoft.com/office/drawing/2014/main" id="{BF3AB429-C9B2-4CDF-9D72-E8E93E440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6" name="Picture 1" descr="ALMASHRI_0">
          <a:extLst>
            <a:ext uri="{FF2B5EF4-FFF2-40B4-BE49-F238E27FC236}">
              <a16:creationId xmlns:a16="http://schemas.microsoft.com/office/drawing/2014/main" id="{D68BDAC9-AD7E-48B4-82A2-4382E0F93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7" name="Picture 1" descr="ALMASHRI_0">
          <a:extLst>
            <a:ext uri="{FF2B5EF4-FFF2-40B4-BE49-F238E27FC236}">
              <a16:creationId xmlns:a16="http://schemas.microsoft.com/office/drawing/2014/main" id="{89120DB0-51D3-4671-AD37-11E917CEE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8" name="Picture 1" descr="ALMASHRI_0">
          <a:extLst>
            <a:ext uri="{FF2B5EF4-FFF2-40B4-BE49-F238E27FC236}">
              <a16:creationId xmlns:a16="http://schemas.microsoft.com/office/drawing/2014/main" id="{0ADBC7BE-CD00-43D2-8554-5368A832D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699" name="Picture 1" descr="ALMASHRI_0">
          <a:extLst>
            <a:ext uri="{FF2B5EF4-FFF2-40B4-BE49-F238E27FC236}">
              <a16:creationId xmlns:a16="http://schemas.microsoft.com/office/drawing/2014/main" id="{761F6FA7-06B2-4F07-B09D-0E09EB12E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00" name="Picture 1" descr="ALMASHRI_0">
          <a:extLst>
            <a:ext uri="{FF2B5EF4-FFF2-40B4-BE49-F238E27FC236}">
              <a16:creationId xmlns:a16="http://schemas.microsoft.com/office/drawing/2014/main" id="{4EFB0F6A-41CA-416D-8994-048C55CEB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01" name="Picture 1" descr="ALMASHRI_0">
          <a:extLst>
            <a:ext uri="{FF2B5EF4-FFF2-40B4-BE49-F238E27FC236}">
              <a16:creationId xmlns:a16="http://schemas.microsoft.com/office/drawing/2014/main" id="{8029F5B7-5AF8-47DD-9FF5-AFE54A2CE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02" name="Picture 1" descr="ALMASHRI_0">
          <a:extLst>
            <a:ext uri="{FF2B5EF4-FFF2-40B4-BE49-F238E27FC236}">
              <a16:creationId xmlns:a16="http://schemas.microsoft.com/office/drawing/2014/main" id="{8AE13E56-3100-44D9-AA95-1C1452307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03" name="Picture 1" descr="ALMASHRI_0">
          <a:extLst>
            <a:ext uri="{FF2B5EF4-FFF2-40B4-BE49-F238E27FC236}">
              <a16:creationId xmlns:a16="http://schemas.microsoft.com/office/drawing/2014/main" id="{30E9FA01-CFDE-4C87-837E-6D9D566D4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04" name="Picture 1" descr="ALMASHRI_0">
          <a:extLst>
            <a:ext uri="{FF2B5EF4-FFF2-40B4-BE49-F238E27FC236}">
              <a16:creationId xmlns:a16="http://schemas.microsoft.com/office/drawing/2014/main" id="{C8C3333D-460A-436F-B372-08950AF2B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05" name="Picture 1" descr="ALMASHRI_0">
          <a:extLst>
            <a:ext uri="{FF2B5EF4-FFF2-40B4-BE49-F238E27FC236}">
              <a16:creationId xmlns:a16="http://schemas.microsoft.com/office/drawing/2014/main" id="{0B70F3D1-8DAF-4507-A74C-ED54535CE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06" name="Picture 1" descr="ALMASHRI_0">
          <a:extLst>
            <a:ext uri="{FF2B5EF4-FFF2-40B4-BE49-F238E27FC236}">
              <a16:creationId xmlns:a16="http://schemas.microsoft.com/office/drawing/2014/main" id="{E458AEDF-8D2D-4998-954D-EF6349CDD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07" name="Picture 1" descr="ALMASHRI_0">
          <a:extLst>
            <a:ext uri="{FF2B5EF4-FFF2-40B4-BE49-F238E27FC236}">
              <a16:creationId xmlns:a16="http://schemas.microsoft.com/office/drawing/2014/main" id="{0395865F-E113-40E5-843F-DC84C3A2E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08" name="Picture 1" descr="ALMASHRI_0">
          <a:extLst>
            <a:ext uri="{FF2B5EF4-FFF2-40B4-BE49-F238E27FC236}">
              <a16:creationId xmlns:a16="http://schemas.microsoft.com/office/drawing/2014/main" id="{8C9A2538-59BB-493C-A6FB-2101830AC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09" name="Picture 1" descr="ALMASHRI_0">
          <a:extLst>
            <a:ext uri="{FF2B5EF4-FFF2-40B4-BE49-F238E27FC236}">
              <a16:creationId xmlns:a16="http://schemas.microsoft.com/office/drawing/2014/main" id="{2EF78066-C149-4B93-A69F-ACE936A00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0" name="Picture 1" descr="ALMASHRI_0">
          <a:extLst>
            <a:ext uri="{FF2B5EF4-FFF2-40B4-BE49-F238E27FC236}">
              <a16:creationId xmlns:a16="http://schemas.microsoft.com/office/drawing/2014/main" id="{ABE699C2-CDC5-4FCC-A2F1-17CE7292B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1" name="Picture 1" descr="ALMASHRI_0">
          <a:extLst>
            <a:ext uri="{FF2B5EF4-FFF2-40B4-BE49-F238E27FC236}">
              <a16:creationId xmlns:a16="http://schemas.microsoft.com/office/drawing/2014/main" id="{9CF7DE39-BCCB-407A-908C-87FA5B199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2" name="Picture 1" descr="ALMASHRI_0">
          <a:extLst>
            <a:ext uri="{FF2B5EF4-FFF2-40B4-BE49-F238E27FC236}">
              <a16:creationId xmlns:a16="http://schemas.microsoft.com/office/drawing/2014/main" id="{B928C4B6-4A16-467A-BB45-8FBE96691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3" name="Picture 1" descr="ALMASHRI_0">
          <a:extLst>
            <a:ext uri="{FF2B5EF4-FFF2-40B4-BE49-F238E27FC236}">
              <a16:creationId xmlns:a16="http://schemas.microsoft.com/office/drawing/2014/main" id="{3C3585B7-1CF8-481C-AAB7-8419FBF91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4" name="Picture 1" descr="ALMASHRI_0">
          <a:extLst>
            <a:ext uri="{FF2B5EF4-FFF2-40B4-BE49-F238E27FC236}">
              <a16:creationId xmlns:a16="http://schemas.microsoft.com/office/drawing/2014/main" id="{45CF9C75-5E1F-4961-A3C0-A6D8C3977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5" name="Picture 1" descr="ALMASHRI_0">
          <a:extLst>
            <a:ext uri="{FF2B5EF4-FFF2-40B4-BE49-F238E27FC236}">
              <a16:creationId xmlns:a16="http://schemas.microsoft.com/office/drawing/2014/main" id="{EE970088-789D-4815-882A-E4BF66D4D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6" name="Picture 1" descr="ALMASHRI_0">
          <a:extLst>
            <a:ext uri="{FF2B5EF4-FFF2-40B4-BE49-F238E27FC236}">
              <a16:creationId xmlns:a16="http://schemas.microsoft.com/office/drawing/2014/main" id="{EB340751-5748-408D-B247-A832BB1B2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7" name="Picture 1" descr="ALMASHRI_0">
          <a:extLst>
            <a:ext uri="{FF2B5EF4-FFF2-40B4-BE49-F238E27FC236}">
              <a16:creationId xmlns:a16="http://schemas.microsoft.com/office/drawing/2014/main" id="{8E4051DD-F961-4633-8860-3E72816A8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8" name="Picture 1" descr="ALMASHRI_0">
          <a:extLst>
            <a:ext uri="{FF2B5EF4-FFF2-40B4-BE49-F238E27FC236}">
              <a16:creationId xmlns:a16="http://schemas.microsoft.com/office/drawing/2014/main" id="{152510E3-EE46-4622-A08B-DDB304371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19" name="Picture 1" descr="ALMASHRI_0">
          <a:extLst>
            <a:ext uri="{FF2B5EF4-FFF2-40B4-BE49-F238E27FC236}">
              <a16:creationId xmlns:a16="http://schemas.microsoft.com/office/drawing/2014/main" id="{69321541-9552-43CB-803B-0126EF220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20" name="Picture 1" descr="ALMASHRI_0">
          <a:extLst>
            <a:ext uri="{FF2B5EF4-FFF2-40B4-BE49-F238E27FC236}">
              <a16:creationId xmlns:a16="http://schemas.microsoft.com/office/drawing/2014/main" id="{FC0B0182-FB7B-4EF0-BA29-9FA7B9222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721" name="Picture 1" descr="ALMASHRI_0">
          <a:extLst>
            <a:ext uri="{FF2B5EF4-FFF2-40B4-BE49-F238E27FC236}">
              <a16:creationId xmlns:a16="http://schemas.microsoft.com/office/drawing/2014/main" id="{5FD74EBC-7A11-4C62-AAE1-852A6DAAE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22" name="Picture 1" descr="ALMASHRI_0">
          <a:extLst>
            <a:ext uri="{FF2B5EF4-FFF2-40B4-BE49-F238E27FC236}">
              <a16:creationId xmlns:a16="http://schemas.microsoft.com/office/drawing/2014/main" id="{FE4A9A06-46A3-4B4E-B80B-43B72B54D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23" name="Picture 1" descr="ALMASHRI_0">
          <a:extLst>
            <a:ext uri="{FF2B5EF4-FFF2-40B4-BE49-F238E27FC236}">
              <a16:creationId xmlns:a16="http://schemas.microsoft.com/office/drawing/2014/main" id="{AFDFC2FC-A1D0-493B-8905-063A9AE62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24" name="Picture 1" descr="ALMASHRI_0">
          <a:extLst>
            <a:ext uri="{FF2B5EF4-FFF2-40B4-BE49-F238E27FC236}">
              <a16:creationId xmlns:a16="http://schemas.microsoft.com/office/drawing/2014/main" id="{D2F09FBF-883C-44F3-B2C7-DF69BD445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25" name="Picture 1" descr="ALMASHRI_0">
          <a:extLst>
            <a:ext uri="{FF2B5EF4-FFF2-40B4-BE49-F238E27FC236}">
              <a16:creationId xmlns:a16="http://schemas.microsoft.com/office/drawing/2014/main" id="{37410A78-C116-4CF3-B912-EBA6C4B4F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26" name="Picture 1" descr="ALMASHRI_0">
          <a:extLst>
            <a:ext uri="{FF2B5EF4-FFF2-40B4-BE49-F238E27FC236}">
              <a16:creationId xmlns:a16="http://schemas.microsoft.com/office/drawing/2014/main" id="{01AD7F87-1A7F-417B-94F4-16C38AC26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27" name="Picture 1" descr="ALMASHRI_0">
          <a:extLst>
            <a:ext uri="{FF2B5EF4-FFF2-40B4-BE49-F238E27FC236}">
              <a16:creationId xmlns:a16="http://schemas.microsoft.com/office/drawing/2014/main" id="{49036EBA-5A61-40EC-8967-15B471068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28" name="Picture 1" descr="ALMASHRI_0">
          <a:extLst>
            <a:ext uri="{FF2B5EF4-FFF2-40B4-BE49-F238E27FC236}">
              <a16:creationId xmlns:a16="http://schemas.microsoft.com/office/drawing/2014/main" id="{3D287085-F438-4938-9914-39966818C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29" name="Picture 1" descr="ALMASHRI_0">
          <a:extLst>
            <a:ext uri="{FF2B5EF4-FFF2-40B4-BE49-F238E27FC236}">
              <a16:creationId xmlns:a16="http://schemas.microsoft.com/office/drawing/2014/main" id="{B89DECDE-4624-406D-B2AC-7CBF45689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30" name="Picture 1" descr="ALMASHRI_0">
          <a:extLst>
            <a:ext uri="{FF2B5EF4-FFF2-40B4-BE49-F238E27FC236}">
              <a16:creationId xmlns:a16="http://schemas.microsoft.com/office/drawing/2014/main" id="{521199F8-8776-4693-AEA9-402C70BB3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31" name="Picture 1" descr="ALMASHRI_0">
          <a:extLst>
            <a:ext uri="{FF2B5EF4-FFF2-40B4-BE49-F238E27FC236}">
              <a16:creationId xmlns:a16="http://schemas.microsoft.com/office/drawing/2014/main" id="{786726BC-91D8-4C10-8289-A33A398DF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32" name="Picture 1" descr="ALMASHRI_0">
          <a:extLst>
            <a:ext uri="{FF2B5EF4-FFF2-40B4-BE49-F238E27FC236}">
              <a16:creationId xmlns:a16="http://schemas.microsoft.com/office/drawing/2014/main" id="{F66271D3-E4AC-433F-A71B-F40CA78E1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33" name="Picture 1" descr="ALMASHRI_0">
          <a:extLst>
            <a:ext uri="{FF2B5EF4-FFF2-40B4-BE49-F238E27FC236}">
              <a16:creationId xmlns:a16="http://schemas.microsoft.com/office/drawing/2014/main" id="{CF805625-2458-49A9-9F8A-90E5C5C79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34" name="Picture 1" descr="ALMASHRI_0">
          <a:extLst>
            <a:ext uri="{FF2B5EF4-FFF2-40B4-BE49-F238E27FC236}">
              <a16:creationId xmlns:a16="http://schemas.microsoft.com/office/drawing/2014/main" id="{F9489A39-EBEF-40DD-AE6C-BC7CBA29D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35" name="Picture 1" descr="ALMASHRI_0">
          <a:extLst>
            <a:ext uri="{FF2B5EF4-FFF2-40B4-BE49-F238E27FC236}">
              <a16:creationId xmlns:a16="http://schemas.microsoft.com/office/drawing/2014/main" id="{4A7C5ACE-E8FA-47ED-8157-90D5E6DCE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36" name="Picture 1" descr="ALMASHRI_0">
          <a:extLst>
            <a:ext uri="{FF2B5EF4-FFF2-40B4-BE49-F238E27FC236}">
              <a16:creationId xmlns:a16="http://schemas.microsoft.com/office/drawing/2014/main" id="{ED4EB516-5A09-4024-AD83-E43ECF1EF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737" name="Picture 1" descr="ALMASHRI_0">
          <a:extLst>
            <a:ext uri="{FF2B5EF4-FFF2-40B4-BE49-F238E27FC236}">
              <a16:creationId xmlns:a16="http://schemas.microsoft.com/office/drawing/2014/main" id="{907A7D15-3DA8-4127-9466-92A0AF260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38" name="Picture 1" descr="ALMASHRI_0">
          <a:extLst>
            <a:ext uri="{FF2B5EF4-FFF2-40B4-BE49-F238E27FC236}">
              <a16:creationId xmlns:a16="http://schemas.microsoft.com/office/drawing/2014/main" id="{E14AB7EF-652E-46D4-B8EC-A104438FD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39" name="Picture 1" descr="ALMASHRI_0">
          <a:extLst>
            <a:ext uri="{FF2B5EF4-FFF2-40B4-BE49-F238E27FC236}">
              <a16:creationId xmlns:a16="http://schemas.microsoft.com/office/drawing/2014/main" id="{79A11A58-BFF2-42BB-BA46-E0FAF95BB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0" name="Picture 1" descr="ALMASHRI_0">
          <a:extLst>
            <a:ext uri="{FF2B5EF4-FFF2-40B4-BE49-F238E27FC236}">
              <a16:creationId xmlns:a16="http://schemas.microsoft.com/office/drawing/2014/main" id="{DDCC2F65-889F-4358-A5D5-304AB423D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1" name="Picture 1" descr="ALMASHRI_0">
          <a:extLst>
            <a:ext uri="{FF2B5EF4-FFF2-40B4-BE49-F238E27FC236}">
              <a16:creationId xmlns:a16="http://schemas.microsoft.com/office/drawing/2014/main" id="{DC6D1594-C628-457C-8347-DAC98E3E1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2" name="Picture 1" descr="ALMASHRI_0">
          <a:extLst>
            <a:ext uri="{FF2B5EF4-FFF2-40B4-BE49-F238E27FC236}">
              <a16:creationId xmlns:a16="http://schemas.microsoft.com/office/drawing/2014/main" id="{9A55BEBB-5261-476D-A3CE-A67656E86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3" name="Picture 1" descr="ALMASHRI_0">
          <a:extLst>
            <a:ext uri="{FF2B5EF4-FFF2-40B4-BE49-F238E27FC236}">
              <a16:creationId xmlns:a16="http://schemas.microsoft.com/office/drawing/2014/main" id="{22D829E9-F71B-449E-A2B3-248E1AE22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4" name="Picture 1" descr="ALMASHRI_0">
          <a:extLst>
            <a:ext uri="{FF2B5EF4-FFF2-40B4-BE49-F238E27FC236}">
              <a16:creationId xmlns:a16="http://schemas.microsoft.com/office/drawing/2014/main" id="{388976AB-7377-4097-87D9-9CE73B60F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5" name="Picture 1" descr="ALMASHRI_0">
          <a:extLst>
            <a:ext uri="{FF2B5EF4-FFF2-40B4-BE49-F238E27FC236}">
              <a16:creationId xmlns:a16="http://schemas.microsoft.com/office/drawing/2014/main" id="{D5105D42-431B-4BBC-AED7-6BC28F222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6" name="Picture 1" descr="ALMASHRI_0">
          <a:extLst>
            <a:ext uri="{FF2B5EF4-FFF2-40B4-BE49-F238E27FC236}">
              <a16:creationId xmlns:a16="http://schemas.microsoft.com/office/drawing/2014/main" id="{5339EC59-B0F3-4C89-B4F2-CA7364072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7" name="Picture 1" descr="ALMASHRI_0">
          <a:extLst>
            <a:ext uri="{FF2B5EF4-FFF2-40B4-BE49-F238E27FC236}">
              <a16:creationId xmlns:a16="http://schemas.microsoft.com/office/drawing/2014/main" id="{C324B1D5-A437-48E0-BAA7-DA60C857C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8" name="Picture 1" descr="ALMASHRI_0">
          <a:extLst>
            <a:ext uri="{FF2B5EF4-FFF2-40B4-BE49-F238E27FC236}">
              <a16:creationId xmlns:a16="http://schemas.microsoft.com/office/drawing/2014/main" id="{C5123B2E-4AA7-4440-B3D5-49F9521AC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49" name="Picture 1" descr="ALMASHRI_0">
          <a:extLst>
            <a:ext uri="{FF2B5EF4-FFF2-40B4-BE49-F238E27FC236}">
              <a16:creationId xmlns:a16="http://schemas.microsoft.com/office/drawing/2014/main" id="{EEC27505-BDDA-40C7-AB19-80D9C44A0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50" name="Picture 1" descr="ALMASHRI_0">
          <a:extLst>
            <a:ext uri="{FF2B5EF4-FFF2-40B4-BE49-F238E27FC236}">
              <a16:creationId xmlns:a16="http://schemas.microsoft.com/office/drawing/2014/main" id="{32713FFC-1B69-45F2-8A61-0F77F8BED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51" name="Picture 1" descr="ALMASHRI_0">
          <a:extLst>
            <a:ext uri="{FF2B5EF4-FFF2-40B4-BE49-F238E27FC236}">
              <a16:creationId xmlns:a16="http://schemas.microsoft.com/office/drawing/2014/main" id="{3CCDEB0E-AF67-4D24-B3C4-438116CA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52" name="Picture 1" descr="ALMASHRI_0">
          <a:extLst>
            <a:ext uri="{FF2B5EF4-FFF2-40B4-BE49-F238E27FC236}">
              <a16:creationId xmlns:a16="http://schemas.microsoft.com/office/drawing/2014/main" id="{FD251CF5-8EC4-4E8A-872E-D02B69B04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753" name="Picture 1" descr="ALMASHRI_0">
          <a:extLst>
            <a:ext uri="{FF2B5EF4-FFF2-40B4-BE49-F238E27FC236}">
              <a16:creationId xmlns:a16="http://schemas.microsoft.com/office/drawing/2014/main" id="{5122B4A0-731B-4D11-99CA-F2C082490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54" name="Picture 1" descr="ALMASHRI_0">
          <a:extLst>
            <a:ext uri="{FF2B5EF4-FFF2-40B4-BE49-F238E27FC236}">
              <a16:creationId xmlns:a16="http://schemas.microsoft.com/office/drawing/2014/main" id="{A3A0E1D3-664F-4EBC-BDA4-7D581E50E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55" name="Picture 1" descr="ALMASHRI_0">
          <a:extLst>
            <a:ext uri="{FF2B5EF4-FFF2-40B4-BE49-F238E27FC236}">
              <a16:creationId xmlns:a16="http://schemas.microsoft.com/office/drawing/2014/main" id="{39EACFF7-9E1D-457B-92FD-4101F411A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56" name="Picture 1" descr="ALMASHRI_0">
          <a:extLst>
            <a:ext uri="{FF2B5EF4-FFF2-40B4-BE49-F238E27FC236}">
              <a16:creationId xmlns:a16="http://schemas.microsoft.com/office/drawing/2014/main" id="{73538C83-029A-4ADD-99EF-9587EF1AB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57" name="Picture 1" descr="ALMASHRI_0">
          <a:extLst>
            <a:ext uri="{FF2B5EF4-FFF2-40B4-BE49-F238E27FC236}">
              <a16:creationId xmlns:a16="http://schemas.microsoft.com/office/drawing/2014/main" id="{5061C2E0-F5AC-46F0-9F01-BF8323E5D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58" name="Picture 1" descr="ALMASHRI_0">
          <a:extLst>
            <a:ext uri="{FF2B5EF4-FFF2-40B4-BE49-F238E27FC236}">
              <a16:creationId xmlns:a16="http://schemas.microsoft.com/office/drawing/2014/main" id="{877F3ED2-3330-44EC-A038-A45D76F63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59" name="Picture 1" descr="ALMASHRI_0">
          <a:extLst>
            <a:ext uri="{FF2B5EF4-FFF2-40B4-BE49-F238E27FC236}">
              <a16:creationId xmlns:a16="http://schemas.microsoft.com/office/drawing/2014/main" id="{D317237A-F2FF-4A7A-A530-788935234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0" name="Picture 1" descr="ALMASHRI_0">
          <a:extLst>
            <a:ext uri="{FF2B5EF4-FFF2-40B4-BE49-F238E27FC236}">
              <a16:creationId xmlns:a16="http://schemas.microsoft.com/office/drawing/2014/main" id="{FE510D42-DEDB-4CE0-8914-81BC73243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1" name="Picture 1" descr="ALMASHRI_0">
          <a:extLst>
            <a:ext uri="{FF2B5EF4-FFF2-40B4-BE49-F238E27FC236}">
              <a16:creationId xmlns:a16="http://schemas.microsoft.com/office/drawing/2014/main" id="{F67634FA-F4AC-4B93-8881-B2EAC1731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2" name="Picture 1" descr="ALMASHRI_0">
          <a:extLst>
            <a:ext uri="{FF2B5EF4-FFF2-40B4-BE49-F238E27FC236}">
              <a16:creationId xmlns:a16="http://schemas.microsoft.com/office/drawing/2014/main" id="{E5EC9789-8882-4A4F-999F-10FE3ECA1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3" name="Picture 1" descr="ALMASHRI_0">
          <a:extLst>
            <a:ext uri="{FF2B5EF4-FFF2-40B4-BE49-F238E27FC236}">
              <a16:creationId xmlns:a16="http://schemas.microsoft.com/office/drawing/2014/main" id="{4FE5625F-60F8-4103-9FAA-91A6D7DFF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4" name="Picture 1" descr="ALMASHRI_0">
          <a:extLst>
            <a:ext uri="{FF2B5EF4-FFF2-40B4-BE49-F238E27FC236}">
              <a16:creationId xmlns:a16="http://schemas.microsoft.com/office/drawing/2014/main" id="{5C296CB8-76FC-45A9-B57B-F47D46933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5" name="Picture 1" descr="ALMASHRI_0">
          <a:extLst>
            <a:ext uri="{FF2B5EF4-FFF2-40B4-BE49-F238E27FC236}">
              <a16:creationId xmlns:a16="http://schemas.microsoft.com/office/drawing/2014/main" id="{CFD482A9-C5E7-4E46-8312-BA0FB88D0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6" name="Picture 1" descr="ALMASHRI_0">
          <a:extLst>
            <a:ext uri="{FF2B5EF4-FFF2-40B4-BE49-F238E27FC236}">
              <a16:creationId xmlns:a16="http://schemas.microsoft.com/office/drawing/2014/main" id="{E0DCB450-CDEB-455E-B9BB-67160081A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7" name="Picture 1" descr="ALMASHRI_0">
          <a:extLst>
            <a:ext uri="{FF2B5EF4-FFF2-40B4-BE49-F238E27FC236}">
              <a16:creationId xmlns:a16="http://schemas.microsoft.com/office/drawing/2014/main" id="{C5E16093-070E-415C-8081-8CCF00C72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8" name="Picture 1" descr="ALMASHRI_0">
          <a:extLst>
            <a:ext uri="{FF2B5EF4-FFF2-40B4-BE49-F238E27FC236}">
              <a16:creationId xmlns:a16="http://schemas.microsoft.com/office/drawing/2014/main" id="{B0A29911-A67B-453F-9B52-2B8CD3D01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769" name="Picture 1" descr="ALMASHRI_0">
          <a:extLst>
            <a:ext uri="{FF2B5EF4-FFF2-40B4-BE49-F238E27FC236}">
              <a16:creationId xmlns:a16="http://schemas.microsoft.com/office/drawing/2014/main" id="{335D8F7E-FE06-4074-B513-B935A6478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0" name="Picture 769" descr="ALMASHRI_0">
          <a:extLst>
            <a:ext uri="{FF2B5EF4-FFF2-40B4-BE49-F238E27FC236}">
              <a16:creationId xmlns:a16="http://schemas.microsoft.com/office/drawing/2014/main" id="{729E7728-E59F-4FEC-B78D-DB0179844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1" name="Picture 1" descr="ALMASHRI_0">
          <a:extLst>
            <a:ext uri="{FF2B5EF4-FFF2-40B4-BE49-F238E27FC236}">
              <a16:creationId xmlns:a16="http://schemas.microsoft.com/office/drawing/2014/main" id="{76648A0F-A44F-4629-858C-A6AD3C9AA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2" name="Picture 1" descr="ALMASHRI_0">
          <a:extLst>
            <a:ext uri="{FF2B5EF4-FFF2-40B4-BE49-F238E27FC236}">
              <a16:creationId xmlns:a16="http://schemas.microsoft.com/office/drawing/2014/main" id="{7279FA0A-49BF-4FC2-AF8A-E5563BCA2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3" name="Picture 1" descr="ALMASHRI_0">
          <a:extLst>
            <a:ext uri="{FF2B5EF4-FFF2-40B4-BE49-F238E27FC236}">
              <a16:creationId xmlns:a16="http://schemas.microsoft.com/office/drawing/2014/main" id="{B73B45C7-751C-49C2-89F6-4D95BD5EE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4" name="Picture 1" descr="ALMASHRI_0">
          <a:extLst>
            <a:ext uri="{FF2B5EF4-FFF2-40B4-BE49-F238E27FC236}">
              <a16:creationId xmlns:a16="http://schemas.microsoft.com/office/drawing/2014/main" id="{B2355806-E02E-4F2F-BE4C-9DD2B0491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5" name="Picture 1" descr="ALMASHRI_0">
          <a:extLst>
            <a:ext uri="{FF2B5EF4-FFF2-40B4-BE49-F238E27FC236}">
              <a16:creationId xmlns:a16="http://schemas.microsoft.com/office/drawing/2014/main" id="{E84446E1-D6C5-4777-9874-6037746F4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6" name="Picture 1" descr="ALMASHRI_0">
          <a:extLst>
            <a:ext uri="{FF2B5EF4-FFF2-40B4-BE49-F238E27FC236}">
              <a16:creationId xmlns:a16="http://schemas.microsoft.com/office/drawing/2014/main" id="{DFDCF859-6985-4B7B-8BA9-71B4065A4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7" name="Picture 1" descr="ALMASHRI_0">
          <a:extLst>
            <a:ext uri="{FF2B5EF4-FFF2-40B4-BE49-F238E27FC236}">
              <a16:creationId xmlns:a16="http://schemas.microsoft.com/office/drawing/2014/main" id="{F635EC0C-15BA-4149-8AE2-C894C811B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8" name="Picture 1" descr="ALMASHRI_0">
          <a:extLst>
            <a:ext uri="{FF2B5EF4-FFF2-40B4-BE49-F238E27FC236}">
              <a16:creationId xmlns:a16="http://schemas.microsoft.com/office/drawing/2014/main" id="{079F1061-43DB-46D0-94B1-9B5FCA28A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79" name="Picture 1" descr="ALMASHRI_0">
          <a:extLst>
            <a:ext uri="{FF2B5EF4-FFF2-40B4-BE49-F238E27FC236}">
              <a16:creationId xmlns:a16="http://schemas.microsoft.com/office/drawing/2014/main" id="{53C28FF5-065D-4676-A265-97384FAC0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80" name="Picture 1" descr="ALMASHRI_0">
          <a:extLst>
            <a:ext uri="{FF2B5EF4-FFF2-40B4-BE49-F238E27FC236}">
              <a16:creationId xmlns:a16="http://schemas.microsoft.com/office/drawing/2014/main" id="{183D7EF8-704E-4405-9F4B-8A6A24444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81" name="Picture 1" descr="ALMASHRI_0">
          <a:extLst>
            <a:ext uri="{FF2B5EF4-FFF2-40B4-BE49-F238E27FC236}">
              <a16:creationId xmlns:a16="http://schemas.microsoft.com/office/drawing/2014/main" id="{67D906AB-880F-43A4-BF7E-5B8BD6068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82" name="Picture 1" descr="ALMASHRI_0">
          <a:extLst>
            <a:ext uri="{FF2B5EF4-FFF2-40B4-BE49-F238E27FC236}">
              <a16:creationId xmlns:a16="http://schemas.microsoft.com/office/drawing/2014/main" id="{55CA95C7-09FA-47EB-A817-80ECCEE98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83" name="Picture 1" descr="ALMASHRI_0">
          <a:extLst>
            <a:ext uri="{FF2B5EF4-FFF2-40B4-BE49-F238E27FC236}">
              <a16:creationId xmlns:a16="http://schemas.microsoft.com/office/drawing/2014/main" id="{F1442432-41AE-455A-8D11-71D2E35B2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84" name="Picture 1" descr="ALMASHRI_0">
          <a:extLst>
            <a:ext uri="{FF2B5EF4-FFF2-40B4-BE49-F238E27FC236}">
              <a16:creationId xmlns:a16="http://schemas.microsoft.com/office/drawing/2014/main" id="{FD05ED7E-2B83-4E34-A56C-21AF8FDAA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785" name="Picture 1" descr="ALMASHRI_0">
          <a:extLst>
            <a:ext uri="{FF2B5EF4-FFF2-40B4-BE49-F238E27FC236}">
              <a16:creationId xmlns:a16="http://schemas.microsoft.com/office/drawing/2014/main" id="{D5CC36F4-A0A1-4741-9999-B48C8377D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86" name="Picture 1" descr="ALMASHRI_0">
          <a:extLst>
            <a:ext uri="{FF2B5EF4-FFF2-40B4-BE49-F238E27FC236}">
              <a16:creationId xmlns:a16="http://schemas.microsoft.com/office/drawing/2014/main" id="{8B974C7B-458F-4E3B-9D97-F682757DA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87" name="Picture 1" descr="ALMASHRI_0">
          <a:extLst>
            <a:ext uri="{FF2B5EF4-FFF2-40B4-BE49-F238E27FC236}">
              <a16:creationId xmlns:a16="http://schemas.microsoft.com/office/drawing/2014/main" id="{D270F431-F9C0-4ED7-BDD9-BC952FE36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88" name="Picture 1" descr="ALMASHRI_0">
          <a:extLst>
            <a:ext uri="{FF2B5EF4-FFF2-40B4-BE49-F238E27FC236}">
              <a16:creationId xmlns:a16="http://schemas.microsoft.com/office/drawing/2014/main" id="{BC2C498E-D083-4974-9C4A-81F891DA5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89" name="Picture 1" descr="ALMASHRI_0">
          <a:extLst>
            <a:ext uri="{FF2B5EF4-FFF2-40B4-BE49-F238E27FC236}">
              <a16:creationId xmlns:a16="http://schemas.microsoft.com/office/drawing/2014/main" id="{D9062156-B774-44AC-92C2-CE57955B0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0" name="Picture 1" descr="ALMASHRI_0">
          <a:extLst>
            <a:ext uri="{FF2B5EF4-FFF2-40B4-BE49-F238E27FC236}">
              <a16:creationId xmlns:a16="http://schemas.microsoft.com/office/drawing/2014/main" id="{B0C746B1-B10B-4251-9AF5-3CAF9BDDA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1" name="Picture 1" descr="ALMASHRI_0">
          <a:extLst>
            <a:ext uri="{FF2B5EF4-FFF2-40B4-BE49-F238E27FC236}">
              <a16:creationId xmlns:a16="http://schemas.microsoft.com/office/drawing/2014/main" id="{54840D30-646F-46CB-A649-6B0269D18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2" name="Picture 1" descr="ALMASHRI_0">
          <a:extLst>
            <a:ext uri="{FF2B5EF4-FFF2-40B4-BE49-F238E27FC236}">
              <a16:creationId xmlns:a16="http://schemas.microsoft.com/office/drawing/2014/main" id="{81C39114-24ED-4A7A-B6E4-0D8A1212D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3" name="Picture 1" descr="ALMASHRI_0">
          <a:extLst>
            <a:ext uri="{FF2B5EF4-FFF2-40B4-BE49-F238E27FC236}">
              <a16:creationId xmlns:a16="http://schemas.microsoft.com/office/drawing/2014/main" id="{495CB228-879E-4CB7-A515-BA3CAB1DB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4" name="Picture 1" descr="ALMASHRI_0">
          <a:extLst>
            <a:ext uri="{FF2B5EF4-FFF2-40B4-BE49-F238E27FC236}">
              <a16:creationId xmlns:a16="http://schemas.microsoft.com/office/drawing/2014/main" id="{23D3DD5E-B0B3-4147-B4A7-2418B11DA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5" name="Picture 1" descr="ALMASHRI_0">
          <a:extLst>
            <a:ext uri="{FF2B5EF4-FFF2-40B4-BE49-F238E27FC236}">
              <a16:creationId xmlns:a16="http://schemas.microsoft.com/office/drawing/2014/main" id="{984448D7-7297-4BE4-8F71-E01DDD245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6" name="Picture 1" descr="ALMASHRI_0">
          <a:extLst>
            <a:ext uri="{FF2B5EF4-FFF2-40B4-BE49-F238E27FC236}">
              <a16:creationId xmlns:a16="http://schemas.microsoft.com/office/drawing/2014/main" id="{CBC8BFA4-48B6-4550-A2E3-120C0013F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7" name="Picture 1" descr="ALMASHRI_0">
          <a:extLst>
            <a:ext uri="{FF2B5EF4-FFF2-40B4-BE49-F238E27FC236}">
              <a16:creationId xmlns:a16="http://schemas.microsoft.com/office/drawing/2014/main" id="{370056FE-9676-4106-B817-1517843AE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8" name="Picture 1" descr="ALMASHRI_0">
          <a:extLst>
            <a:ext uri="{FF2B5EF4-FFF2-40B4-BE49-F238E27FC236}">
              <a16:creationId xmlns:a16="http://schemas.microsoft.com/office/drawing/2014/main" id="{210CF255-1287-4D63-9393-F2D5BACF2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799" name="Picture 1" descr="ALMASHRI_0">
          <a:extLst>
            <a:ext uri="{FF2B5EF4-FFF2-40B4-BE49-F238E27FC236}">
              <a16:creationId xmlns:a16="http://schemas.microsoft.com/office/drawing/2014/main" id="{446A87E5-FD33-4DDE-A8F7-8985FB00A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800" name="Picture 1" descr="ALMASHRI_0">
          <a:extLst>
            <a:ext uri="{FF2B5EF4-FFF2-40B4-BE49-F238E27FC236}">
              <a16:creationId xmlns:a16="http://schemas.microsoft.com/office/drawing/2014/main" id="{DFBF5E6F-43A0-4083-8D40-24EBCE3A5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801" name="Picture 1" descr="ALMASHRI_0">
          <a:extLst>
            <a:ext uri="{FF2B5EF4-FFF2-40B4-BE49-F238E27FC236}">
              <a16:creationId xmlns:a16="http://schemas.microsoft.com/office/drawing/2014/main" id="{66E0B7DB-01B2-478D-ABA6-8B6CD1101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02" name="Picture 1" descr="ALMASHRI_0">
          <a:extLst>
            <a:ext uri="{FF2B5EF4-FFF2-40B4-BE49-F238E27FC236}">
              <a16:creationId xmlns:a16="http://schemas.microsoft.com/office/drawing/2014/main" id="{833E5A9E-0ED6-4437-9522-69C388F1C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03" name="Picture 1" descr="ALMASHRI_0">
          <a:extLst>
            <a:ext uri="{FF2B5EF4-FFF2-40B4-BE49-F238E27FC236}">
              <a16:creationId xmlns:a16="http://schemas.microsoft.com/office/drawing/2014/main" id="{A267D93F-90AC-46E1-B656-08A546C2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04" name="Picture 1" descr="ALMASHRI_0">
          <a:extLst>
            <a:ext uri="{FF2B5EF4-FFF2-40B4-BE49-F238E27FC236}">
              <a16:creationId xmlns:a16="http://schemas.microsoft.com/office/drawing/2014/main" id="{BA5D146B-8FFA-4A91-8FAA-746976A81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05" name="Picture 1" descr="ALMASHRI_0">
          <a:extLst>
            <a:ext uri="{FF2B5EF4-FFF2-40B4-BE49-F238E27FC236}">
              <a16:creationId xmlns:a16="http://schemas.microsoft.com/office/drawing/2014/main" id="{902FF590-71F2-4A8F-8FB7-6F2FF3ADA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06" name="Picture 1" descr="ALMASHRI_0">
          <a:extLst>
            <a:ext uri="{FF2B5EF4-FFF2-40B4-BE49-F238E27FC236}">
              <a16:creationId xmlns:a16="http://schemas.microsoft.com/office/drawing/2014/main" id="{922F3158-48FF-482B-A6FC-A4BD8970E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07" name="Picture 1" descr="ALMASHRI_0">
          <a:extLst>
            <a:ext uri="{FF2B5EF4-FFF2-40B4-BE49-F238E27FC236}">
              <a16:creationId xmlns:a16="http://schemas.microsoft.com/office/drawing/2014/main" id="{F7FA0113-B491-4A8A-B3CC-2DEDE7BA9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08" name="Picture 1" descr="ALMASHRI_0">
          <a:extLst>
            <a:ext uri="{FF2B5EF4-FFF2-40B4-BE49-F238E27FC236}">
              <a16:creationId xmlns:a16="http://schemas.microsoft.com/office/drawing/2014/main" id="{AF6C7CEB-99CE-4D9A-ADD3-B8F1626C3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09" name="Picture 1" descr="ALMASHRI_0">
          <a:extLst>
            <a:ext uri="{FF2B5EF4-FFF2-40B4-BE49-F238E27FC236}">
              <a16:creationId xmlns:a16="http://schemas.microsoft.com/office/drawing/2014/main" id="{493D0EA4-DB57-489C-B83E-817EF8934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10" name="Picture 1" descr="ALMASHRI_0">
          <a:extLst>
            <a:ext uri="{FF2B5EF4-FFF2-40B4-BE49-F238E27FC236}">
              <a16:creationId xmlns:a16="http://schemas.microsoft.com/office/drawing/2014/main" id="{73A04EE7-DE9E-453A-B985-E36A80327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11" name="Picture 1" descr="ALMASHRI_0">
          <a:extLst>
            <a:ext uri="{FF2B5EF4-FFF2-40B4-BE49-F238E27FC236}">
              <a16:creationId xmlns:a16="http://schemas.microsoft.com/office/drawing/2014/main" id="{0F70C32E-C443-40C9-B7F6-1EC2B27A2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12" name="Picture 1" descr="ALMASHRI_0">
          <a:extLst>
            <a:ext uri="{FF2B5EF4-FFF2-40B4-BE49-F238E27FC236}">
              <a16:creationId xmlns:a16="http://schemas.microsoft.com/office/drawing/2014/main" id="{4E92058E-9E5B-41A9-B0D3-1077DA9A9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13" name="Picture 1" descr="ALMASHRI_0">
          <a:extLst>
            <a:ext uri="{FF2B5EF4-FFF2-40B4-BE49-F238E27FC236}">
              <a16:creationId xmlns:a16="http://schemas.microsoft.com/office/drawing/2014/main" id="{E7C825C2-4A1E-413B-843A-560D81532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14" name="Picture 1" descr="ALMASHRI_0">
          <a:extLst>
            <a:ext uri="{FF2B5EF4-FFF2-40B4-BE49-F238E27FC236}">
              <a16:creationId xmlns:a16="http://schemas.microsoft.com/office/drawing/2014/main" id="{E5D8AD1B-BC33-49E8-9599-C892D0592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15" name="Picture 1" descr="ALMASHRI_0">
          <a:extLst>
            <a:ext uri="{FF2B5EF4-FFF2-40B4-BE49-F238E27FC236}">
              <a16:creationId xmlns:a16="http://schemas.microsoft.com/office/drawing/2014/main" id="{F0358032-AA97-41E3-B06B-991D060C3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16" name="Picture 1" descr="ALMASHRI_0">
          <a:extLst>
            <a:ext uri="{FF2B5EF4-FFF2-40B4-BE49-F238E27FC236}">
              <a16:creationId xmlns:a16="http://schemas.microsoft.com/office/drawing/2014/main" id="{66DFA319-6408-4C80-A51E-54985DE6C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17" name="Picture 1" descr="ALMASHRI_0">
          <a:extLst>
            <a:ext uri="{FF2B5EF4-FFF2-40B4-BE49-F238E27FC236}">
              <a16:creationId xmlns:a16="http://schemas.microsoft.com/office/drawing/2014/main" id="{CEBA8F03-2B8B-4D34-B5F7-9AED668E8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18" name="Picture 1" descr="ALMASHRI_0">
          <a:extLst>
            <a:ext uri="{FF2B5EF4-FFF2-40B4-BE49-F238E27FC236}">
              <a16:creationId xmlns:a16="http://schemas.microsoft.com/office/drawing/2014/main" id="{2CDAF7FC-F7DF-4F78-A45C-8B512100F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19" name="Picture 1" descr="ALMASHRI_0">
          <a:extLst>
            <a:ext uri="{FF2B5EF4-FFF2-40B4-BE49-F238E27FC236}">
              <a16:creationId xmlns:a16="http://schemas.microsoft.com/office/drawing/2014/main" id="{A420AB9E-B38A-4639-A4AA-9CC7EF4A4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0" name="Picture 1" descr="ALMASHRI_0">
          <a:extLst>
            <a:ext uri="{FF2B5EF4-FFF2-40B4-BE49-F238E27FC236}">
              <a16:creationId xmlns:a16="http://schemas.microsoft.com/office/drawing/2014/main" id="{600DF1D3-A921-4733-B7D1-119DF8D30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1" name="Picture 1" descr="ALMASHRI_0">
          <a:extLst>
            <a:ext uri="{FF2B5EF4-FFF2-40B4-BE49-F238E27FC236}">
              <a16:creationId xmlns:a16="http://schemas.microsoft.com/office/drawing/2014/main" id="{EF6FF7F8-7AEB-4E60-9C46-5B4C62B5A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2" name="Picture 1" descr="ALMASHRI_0">
          <a:extLst>
            <a:ext uri="{FF2B5EF4-FFF2-40B4-BE49-F238E27FC236}">
              <a16:creationId xmlns:a16="http://schemas.microsoft.com/office/drawing/2014/main" id="{F363CA17-1912-4C0F-9C8C-A45B6B800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3" name="Picture 1" descr="ALMASHRI_0">
          <a:extLst>
            <a:ext uri="{FF2B5EF4-FFF2-40B4-BE49-F238E27FC236}">
              <a16:creationId xmlns:a16="http://schemas.microsoft.com/office/drawing/2014/main" id="{5C2A5F26-4E36-4DED-9F53-611586444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4" name="Picture 1" descr="ALMASHRI_0">
          <a:extLst>
            <a:ext uri="{FF2B5EF4-FFF2-40B4-BE49-F238E27FC236}">
              <a16:creationId xmlns:a16="http://schemas.microsoft.com/office/drawing/2014/main" id="{C0262833-4656-4958-A10A-9E912BF50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5" name="Picture 1" descr="ALMASHRI_0">
          <a:extLst>
            <a:ext uri="{FF2B5EF4-FFF2-40B4-BE49-F238E27FC236}">
              <a16:creationId xmlns:a16="http://schemas.microsoft.com/office/drawing/2014/main" id="{0DA045FE-8BF1-4290-B330-B2660EBE1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6" name="Picture 1" descr="ALMASHRI_0">
          <a:extLst>
            <a:ext uri="{FF2B5EF4-FFF2-40B4-BE49-F238E27FC236}">
              <a16:creationId xmlns:a16="http://schemas.microsoft.com/office/drawing/2014/main" id="{74DC7F97-2B7A-4F07-BB40-B0AFDA5A2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7" name="Picture 1" descr="ALMASHRI_0">
          <a:extLst>
            <a:ext uri="{FF2B5EF4-FFF2-40B4-BE49-F238E27FC236}">
              <a16:creationId xmlns:a16="http://schemas.microsoft.com/office/drawing/2014/main" id="{307E0122-D19B-4CBC-8981-604921538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8" name="Picture 1" descr="ALMASHRI_0">
          <a:extLst>
            <a:ext uri="{FF2B5EF4-FFF2-40B4-BE49-F238E27FC236}">
              <a16:creationId xmlns:a16="http://schemas.microsoft.com/office/drawing/2014/main" id="{B1FDFD29-B733-45E0-9A9C-ABD58A838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29" name="Picture 1" descr="ALMASHRI_0">
          <a:extLst>
            <a:ext uri="{FF2B5EF4-FFF2-40B4-BE49-F238E27FC236}">
              <a16:creationId xmlns:a16="http://schemas.microsoft.com/office/drawing/2014/main" id="{4192D679-593A-463E-82A9-C59D311E4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30" name="Picture 1" descr="ALMASHRI_0">
          <a:extLst>
            <a:ext uri="{FF2B5EF4-FFF2-40B4-BE49-F238E27FC236}">
              <a16:creationId xmlns:a16="http://schemas.microsoft.com/office/drawing/2014/main" id="{84F39718-D261-429B-8049-78B645AA3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31" name="Picture 1" descr="ALMASHRI_0">
          <a:extLst>
            <a:ext uri="{FF2B5EF4-FFF2-40B4-BE49-F238E27FC236}">
              <a16:creationId xmlns:a16="http://schemas.microsoft.com/office/drawing/2014/main" id="{50FE050E-88D1-43D9-9F5B-03910CA08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32" name="Picture 1" descr="ALMASHRI_0">
          <a:extLst>
            <a:ext uri="{FF2B5EF4-FFF2-40B4-BE49-F238E27FC236}">
              <a16:creationId xmlns:a16="http://schemas.microsoft.com/office/drawing/2014/main" id="{669E8442-1A65-42B5-983D-4394CB341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33" name="Picture 1" descr="ALMASHRI_0">
          <a:extLst>
            <a:ext uri="{FF2B5EF4-FFF2-40B4-BE49-F238E27FC236}">
              <a16:creationId xmlns:a16="http://schemas.microsoft.com/office/drawing/2014/main" id="{7A4D9CE8-86D3-482D-B5CE-456B94142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34" name="Picture 1" descr="ALMASHRI_0">
          <a:extLst>
            <a:ext uri="{FF2B5EF4-FFF2-40B4-BE49-F238E27FC236}">
              <a16:creationId xmlns:a16="http://schemas.microsoft.com/office/drawing/2014/main" id="{D95E52A6-ED64-4AFC-9941-433D95D7D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35" name="Picture 1" descr="ALMASHRI_0">
          <a:extLst>
            <a:ext uri="{FF2B5EF4-FFF2-40B4-BE49-F238E27FC236}">
              <a16:creationId xmlns:a16="http://schemas.microsoft.com/office/drawing/2014/main" id="{6577A5E4-F79F-4B22-832D-55BD159C0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36" name="Picture 1" descr="ALMASHRI_0">
          <a:extLst>
            <a:ext uri="{FF2B5EF4-FFF2-40B4-BE49-F238E27FC236}">
              <a16:creationId xmlns:a16="http://schemas.microsoft.com/office/drawing/2014/main" id="{74AEF081-9759-4135-AF85-CB6101891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37" name="Picture 1" descr="ALMASHRI_0">
          <a:extLst>
            <a:ext uri="{FF2B5EF4-FFF2-40B4-BE49-F238E27FC236}">
              <a16:creationId xmlns:a16="http://schemas.microsoft.com/office/drawing/2014/main" id="{878B7FEB-451D-485B-BE3C-FFD4890EC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38" name="Picture 1" descr="ALMASHRI_0">
          <a:extLst>
            <a:ext uri="{FF2B5EF4-FFF2-40B4-BE49-F238E27FC236}">
              <a16:creationId xmlns:a16="http://schemas.microsoft.com/office/drawing/2014/main" id="{A44F3C02-F3C6-4683-B94C-9AB7266B8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39" name="Picture 1" descr="ALMASHRI_0">
          <a:extLst>
            <a:ext uri="{FF2B5EF4-FFF2-40B4-BE49-F238E27FC236}">
              <a16:creationId xmlns:a16="http://schemas.microsoft.com/office/drawing/2014/main" id="{8F2684FB-0D7D-4BA7-B3BB-E31CDDF49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0" name="Picture 1" descr="ALMASHRI_0">
          <a:extLst>
            <a:ext uri="{FF2B5EF4-FFF2-40B4-BE49-F238E27FC236}">
              <a16:creationId xmlns:a16="http://schemas.microsoft.com/office/drawing/2014/main" id="{55E1347B-39B0-4A56-A192-9D80CA9471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1" name="Picture 1" descr="ALMASHRI_0">
          <a:extLst>
            <a:ext uri="{FF2B5EF4-FFF2-40B4-BE49-F238E27FC236}">
              <a16:creationId xmlns:a16="http://schemas.microsoft.com/office/drawing/2014/main" id="{0BA50989-D5F5-4C9F-92EA-19AE4ECFC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2" name="Picture 1" descr="ALMASHRI_0">
          <a:extLst>
            <a:ext uri="{FF2B5EF4-FFF2-40B4-BE49-F238E27FC236}">
              <a16:creationId xmlns:a16="http://schemas.microsoft.com/office/drawing/2014/main" id="{BCF0D74D-9572-40BC-BE7E-321DD7980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3" name="Picture 1" descr="ALMASHRI_0">
          <a:extLst>
            <a:ext uri="{FF2B5EF4-FFF2-40B4-BE49-F238E27FC236}">
              <a16:creationId xmlns:a16="http://schemas.microsoft.com/office/drawing/2014/main" id="{0ED3A13B-C3E3-4DC5-A103-7D162E881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4" name="Picture 1" descr="ALMASHRI_0">
          <a:extLst>
            <a:ext uri="{FF2B5EF4-FFF2-40B4-BE49-F238E27FC236}">
              <a16:creationId xmlns:a16="http://schemas.microsoft.com/office/drawing/2014/main" id="{C65CEA86-F3C3-46EC-8887-23315E948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5" name="Picture 1" descr="ALMASHRI_0">
          <a:extLst>
            <a:ext uri="{FF2B5EF4-FFF2-40B4-BE49-F238E27FC236}">
              <a16:creationId xmlns:a16="http://schemas.microsoft.com/office/drawing/2014/main" id="{09204F4F-6E6B-4FB4-BD9F-FE6EFD8D9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6" name="Picture 1" descr="ALMASHRI_0">
          <a:extLst>
            <a:ext uri="{FF2B5EF4-FFF2-40B4-BE49-F238E27FC236}">
              <a16:creationId xmlns:a16="http://schemas.microsoft.com/office/drawing/2014/main" id="{DE4BB541-62CC-41B2-9AA7-4192EE664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7" name="Picture 1" descr="ALMASHRI_0">
          <a:extLst>
            <a:ext uri="{FF2B5EF4-FFF2-40B4-BE49-F238E27FC236}">
              <a16:creationId xmlns:a16="http://schemas.microsoft.com/office/drawing/2014/main" id="{C201A6F6-8901-4419-B35B-FEF1F061F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8" name="Picture 1" descr="ALMASHRI_0">
          <a:extLst>
            <a:ext uri="{FF2B5EF4-FFF2-40B4-BE49-F238E27FC236}">
              <a16:creationId xmlns:a16="http://schemas.microsoft.com/office/drawing/2014/main" id="{CA4B8230-154C-4959-93F8-5B3D970D1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849" name="Picture 1" descr="ALMASHRI_0">
          <a:extLst>
            <a:ext uri="{FF2B5EF4-FFF2-40B4-BE49-F238E27FC236}">
              <a16:creationId xmlns:a16="http://schemas.microsoft.com/office/drawing/2014/main" id="{C04ED8B1-81AB-491A-93FC-B32A65E6E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0" name="Picture 1" descr="ALMASHRI_0">
          <a:extLst>
            <a:ext uri="{FF2B5EF4-FFF2-40B4-BE49-F238E27FC236}">
              <a16:creationId xmlns:a16="http://schemas.microsoft.com/office/drawing/2014/main" id="{9865C7BF-5EB8-4A90-A1DA-ACEEF584C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1" name="Picture 1" descr="ALMASHRI_0">
          <a:extLst>
            <a:ext uri="{FF2B5EF4-FFF2-40B4-BE49-F238E27FC236}">
              <a16:creationId xmlns:a16="http://schemas.microsoft.com/office/drawing/2014/main" id="{C48A363C-5161-43D5-81C8-84976019C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2" name="Picture 1" descr="ALMASHRI_0">
          <a:extLst>
            <a:ext uri="{FF2B5EF4-FFF2-40B4-BE49-F238E27FC236}">
              <a16:creationId xmlns:a16="http://schemas.microsoft.com/office/drawing/2014/main" id="{771DF4B3-F98A-48A4-BF41-063FAA74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3" name="Picture 1" descr="ALMASHRI_0">
          <a:extLst>
            <a:ext uri="{FF2B5EF4-FFF2-40B4-BE49-F238E27FC236}">
              <a16:creationId xmlns:a16="http://schemas.microsoft.com/office/drawing/2014/main" id="{934EB8DF-B990-4900-ACD0-20C1626BB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4" name="Picture 1" descr="ALMASHRI_0">
          <a:extLst>
            <a:ext uri="{FF2B5EF4-FFF2-40B4-BE49-F238E27FC236}">
              <a16:creationId xmlns:a16="http://schemas.microsoft.com/office/drawing/2014/main" id="{5743DAE7-22F5-424A-BA13-DF225DD15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5" name="Picture 1" descr="ALMASHRI_0">
          <a:extLst>
            <a:ext uri="{FF2B5EF4-FFF2-40B4-BE49-F238E27FC236}">
              <a16:creationId xmlns:a16="http://schemas.microsoft.com/office/drawing/2014/main" id="{EA7FBA83-DA8F-4852-8264-C768DFE64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6" name="Picture 1" descr="ALMASHRI_0">
          <a:extLst>
            <a:ext uri="{FF2B5EF4-FFF2-40B4-BE49-F238E27FC236}">
              <a16:creationId xmlns:a16="http://schemas.microsoft.com/office/drawing/2014/main" id="{3EF4A6D7-E0B8-481C-8ABC-2F7E2F02D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7" name="Picture 1" descr="ALMASHRI_0">
          <a:extLst>
            <a:ext uri="{FF2B5EF4-FFF2-40B4-BE49-F238E27FC236}">
              <a16:creationId xmlns:a16="http://schemas.microsoft.com/office/drawing/2014/main" id="{0701B39E-493F-4386-919D-02C69C1EB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8" name="Picture 1" descr="ALMASHRI_0">
          <a:extLst>
            <a:ext uri="{FF2B5EF4-FFF2-40B4-BE49-F238E27FC236}">
              <a16:creationId xmlns:a16="http://schemas.microsoft.com/office/drawing/2014/main" id="{0E2C39A7-B123-4B4C-8B98-53F2D1F3A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59" name="Picture 1" descr="ALMASHRI_0">
          <a:extLst>
            <a:ext uri="{FF2B5EF4-FFF2-40B4-BE49-F238E27FC236}">
              <a16:creationId xmlns:a16="http://schemas.microsoft.com/office/drawing/2014/main" id="{CCF1AA4D-6BEE-4CCE-AA61-C2A0D1413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60" name="Picture 1" descr="ALMASHRI_0">
          <a:extLst>
            <a:ext uri="{FF2B5EF4-FFF2-40B4-BE49-F238E27FC236}">
              <a16:creationId xmlns:a16="http://schemas.microsoft.com/office/drawing/2014/main" id="{D83516C5-2BAC-45D6-B473-69AC0B047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61" name="Picture 1" descr="ALMASHRI_0">
          <a:extLst>
            <a:ext uri="{FF2B5EF4-FFF2-40B4-BE49-F238E27FC236}">
              <a16:creationId xmlns:a16="http://schemas.microsoft.com/office/drawing/2014/main" id="{53BED26A-A6A8-480D-9955-557CEA3AD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62" name="Picture 1" descr="ALMASHRI_0">
          <a:extLst>
            <a:ext uri="{FF2B5EF4-FFF2-40B4-BE49-F238E27FC236}">
              <a16:creationId xmlns:a16="http://schemas.microsoft.com/office/drawing/2014/main" id="{2146B0F5-C063-41C4-BD17-1290DFA75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63" name="Picture 1" descr="ALMASHRI_0">
          <a:extLst>
            <a:ext uri="{FF2B5EF4-FFF2-40B4-BE49-F238E27FC236}">
              <a16:creationId xmlns:a16="http://schemas.microsoft.com/office/drawing/2014/main" id="{C7EF6D81-45B8-44F6-86DA-19BBC9BFB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64" name="Picture 1" descr="ALMASHRI_0">
          <a:extLst>
            <a:ext uri="{FF2B5EF4-FFF2-40B4-BE49-F238E27FC236}">
              <a16:creationId xmlns:a16="http://schemas.microsoft.com/office/drawing/2014/main" id="{AA054A89-BB72-46FF-B0AD-B0CAF8E95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865" name="Picture 1" descr="ALMASHRI_0">
          <a:extLst>
            <a:ext uri="{FF2B5EF4-FFF2-40B4-BE49-F238E27FC236}">
              <a16:creationId xmlns:a16="http://schemas.microsoft.com/office/drawing/2014/main" id="{24A3C300-5C13-44A5-BC2F-CDF66D960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66" name="Picture 1" descr="ALMASHRI_0">
          <a:extLst>
            <a:ext uri="{FF2B5EF4-FFF2-40B4-BE49-F238E27FC236}">
              <a16:creationId xmlns:a16="http://schemas.microsoft.com/office/drawing/2014/main" id="{D1BE8E39-62B8-414C-B686-3460B36AF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67" name="Picture 1" descr="ALMASHRI_0">
          <a:extLst>
            <a:ext uri="{FF2B5EF4-FFF2-40B4-BE49-F238E27FC236}">
              <a16:creationId xmlns:a16="http://schemas.microsoft.com/office/drawing/2014/main" id="{8FEB2597-C375-4E7B-9DC7-DD51C620F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68" name="Picture 1" descr="ALMASHRI_0">
          <a:extLst>
            <a:ext uri="{FF2B5EF4-FFF2-40B4-BE49-F238E27FC236}">
              <a16:creationId xmlns:a16="http://schemas.microsoft.com/office/drawing/2014/main" id="{0512CCCD-57B6-4A54-AF6A-E4F663376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69" name="Picture 1" descr="ALMASHRI_0">
          <a:extLst>
            <a:ext uri="{FF2B5EF4-FFF2-40B4-BE49-F238E27FC236}">
              <a16:creationId xmlns:a16="http://schemas.microsoft.com/office/drawing/2014/main" id="{16A2C04D-4D6E-4D98-986D-2F003BF8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0" name="Picture 1" descr="ALMASHRI_0">
          <a:extLst>
            <a:ext uri="{FF2B5EF4-FFF2-40B4-BE49-F238E27FC236}">
              <a16:creationId xmlns:a16="http://schemas.microsoft.com/office/drawing/2014/main" id="{E03131CB-7743-4473-848A-3045263B3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1" name="Picture 1" descr="ALMASHRI_0">
          <a:extLst>
            <a:ext uri="{FF2B5EF4-FFF2-40B4-BE49-F238E27FC236}">
              <a16:creationId xmlns:a16="http://schemas.microsoft.com/office/drawing/2014/main" id="{020B2673-99A8-45BE-A5F7-226E1B56F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2" name="Picture 1" descr="ALMASHRI_0">
          <a:extLst>
            <a:ext uri="{FF2B5EF4-FFF2-40B4-BE49-F238E27FC236}">
              <a16:creationId xmlns:a16="http://schemas.microsoft.com/office/drawing/2014/main" id="{749B9079-7888-4E8F-A1A4-24A778AD2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3" name="Picture 1" descr="ALMASHRI_0">
          <a:extLst>
            <a:ext uri="{FF2B5EF4-FFF2-40B4-BE49-F238E27FC236}">
              <a16:creationId xmlns:a16="http://schemas.microsoft.com/office/drawing/2014/main" id="{3FEC590F-A888-446B-949F-60F4BEF80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4" name="Picture 1" descr="ALMASHRI_0">
          <a:extLst>
            <a:ext uri="{FF2B5EF4-FFF2-40B4-BE49-F238E27FC236}">
              <a16:creationId xmlns:a16="http://schemas.microsoft.com/office/drawing/2014/main" id="{6BFC7C32-F100-4099-B1D4-5E8FA230F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5" name="Picture 1" descr="ALMASHRI_0">
          <a:extLst>
            <a:ext uri="{FF2B5EF4-FFF2-40B4-BE49-F238E27FC236}">
              <a16:creationId xmlns:a16="http://schemas.microsoft.com/office/drawing/2014/main" id="{802E7F5D-E3AD-438C-BEAA-BEE52D8DE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6" name="Picture 1" descr="ALMASHRI_0">
          <a:extLst>
            <a:ext uri="{FF2B5EF4-FFF2-40B4-BE49-F238E27FC236}">
              <a16:creationId xmlns:a16="http://schemas.microsoft.com/office/drawing/2014/main" id="{EDF3430A-1157-4248-9094-920AB0F86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7" name="Picture 1" descr="ALMASHRI_0">
          <a:extLst>
            <a:ext uri="{FF2B5EF4-FFF2-40B4-BE49-F238E27FC236}">
              <a16:creationId xmlns:a16="http://schemas.microsoft.com/office/drawing/2014/main" id="{97365EA3-13F5-4F30-9478-E5AF3CFC8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8" name="Picture 1" descr="ALMASHRI_0">
          <a:extLst>
            <a:ext uri="{FF2B5EF4-FFF2-40B4-BE49-F238E27FC236}">
              <a16:creationId xmlns:a16="http://schemas.microsoft.com/office/drawing/2014/main" id="{0EBE38AB-890D-432F-966D-26DBE2259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79" name="Picture 1" descr="ALMASHRI_0">
          <a:extLst>
            <a:ext uri="{FF2B5EF4-FFF2-40B4-BE49-F238E27FC236}">
              <a16:creationId xmlns:a16="http://schemas.microsoft.com/office/drawing/2014/main" id="{FEAB373F-2049-4274-9578-3D31A978E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80" name="Picture 1" descr="ALMASHRI_0">
          <a:extLst>
            <a:ext uri="{FF2B5EF4-FFF2-40B4-BE49-F238E27FC236}">
              <a16:creationId xmlns:a16="http://schemas.microsoft.com/office/drawing/2014/main" id="{AA572314-36B0-476C-AAC3-1E4ADCA0E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881" name="Picture 1" descr="ALMASHRI_0">
          <a:extLst>
            <a:ext uri="{FF2B5EF4-FFF2-40B4-BE49-F238E27FC236}">
              <a16:creationId xmlns:a16="http://schemas.microsoft.com/office/drawing/2014/main" id="{55CBA95B-7FF9-4E15-9AEE-050914D94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82" name="Picture 1" descr="ALMASHRI_0">
          <a:extLst>
            <a:ext uri="{FF2B5EF4-FFF2-40B4-BE49-F238E27FC236}">
              <a16:creationId xmlns:a16="http://schemas.microsoft.com/office/drawing/2014/main" id="{D24749B7-3EBD-47EF-8598-10B3F8A3D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83" name="Picture 1" descr="ALMASHRI_0">
          <a:extLst>
            <a:ext uri="{FF2B5EF4-FFF2-40B4-BE49-F238E27FC236}">
              <a16:creationId xmlns:a16="http://schemas.microsoft.com/office/drawing/2014/main" id="{3334716F-F0F1-4714-86C6-7F003C198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84" name="Picture 1" descr="ALMASHRI_0">
          <a:extLst>
            <a:ext uri="{FF2B5EF4-FFF2-40B4-BE49-F238E27FC236}">
              <a16:creationId xmlns:a16="http://schemas.microsoft.com/office/drawing/2014/main" id="{109DC5BA-04F5-4D66-9571-FA0C55C5B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85" name="Picture 1" descr="ALMASHRI_0">
          <a:extLst>
            <a:ext uri="{FF2B5EF4-FFF2-40B4-BE49-F238E27FC236}">
              <a16:creationId xmlns:a16="http://schemas.microsoft.com/office/drawing/2014/main" id="{C5CC0552-328F-4C7A-990B-791D1A8B0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86" name="Picture 1" descr="ALMASHRI_0">
          <a:extLst>
            <a:ext uri="{FF2B5EF4-FFF2-40B4-BE49-F238E27FC236}">
              <a16:creationId xmlns:a16="http://schemas.microsoft.com/office/drawing/2014/main" id="{7BB5BA51-6BB0-4EDE-8A49-4CFC9692D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87" name="Picture 1" descr="ALMASHRI_0">
          <a:extLst>
            <a:ext uri="{FF2B5EF4-FFF2-40B4-BE49-F238E27FC236}">
              <a16:creationId xmlns:a16="http://schemas.microsoft.com/office/drawing/2014/main" id="{B3E80C41-3571-4B19-B4CE-098E79F9B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88" name="Picture 1" descr="ALMASHRI_0">
          <a:extLst>
            <a:ext uri="{FF2B5EF4-FFF2-40B4-BE49-F238E27FC236}">
              <a16:creationId xmlns:a16="http://schemas.microsoft.com/office/drawing/2014/main" id="{D59DD785-1796-4124-8B16-2217B422D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89" name="Picture 1" descr="ALMASHRI_0">
          <a:extLst>
            <a:ext uri="{FF2B5EF4-FFF2-40B4-BE49-F238E27FC236}">
              <a16:creationId xmlns:a16="http://schemas.microsoft.com/office/drawing/2014/main" id="{35326EFF-1071-4F3C-BC06-E528735EB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90" name="Picture 1" descr="ALMASHRI_0">
          <a:extLst>
            <a:ext uri="{FF2B5EF4-FFF2-40B4-BE49-F238E27FC236}">
              <a16:creationId xmlns:a16="http://schemas.microsoft.com/office/drawing/2014/main" id="{B09EB66B-D9B9-420A-AC9C-5EE40BD78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91" name="Picture 1" descr="ALMASHRI_0">
          <a:extLst>
            <a:ext uri="{FF2B5EF4-FFF2-40B4-BE49-F238E27FC236}">
              <a16:creationId xmlns:a16="http://schemas.microsoft.com/office/drawing/2014/main" id="{5F37006F-4FC0-4172-BEA6-B045A0163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92" name="Picture 1" descr="ALMASHRI_0">
          <a:extLst>
            <a:ext uri="{FF2B5EF4-FFF2-40B4-BE49-F238E27FC236}">
              <a16:creationId xmlns:a16="http://schemas.microsoft.com/office/drawing/2014/main" id="{77F743A7-9F30-40DB-920A-874607188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93" name="Picture 1" descr="ALMASHRI_0">
          <a:extLst>
            <a:ext uri="{FF2B5EF4-FFF2-40B4-BE49-F238E27FC236}">
              <a16:creationId xmlns:a16="http://schemas.microsoft.com/office/drawing/2014/main" id="{88FED6C0-71CB-48C8-A5F2-C2D3DE1F5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94" name="Picture 1" descr="ALMASHRI_0">
          <a:extLst>
            <a:ext uri="{FF2B5EF4-FFF2-40B4-BE49-F238E27FC236}">
              <a16:creationId xmlns:a16="http://schemas.microsoft.com/office/drawing/2014/main" id="{23BB9696-B2F0-413C-99C8-72483CE94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95" name="Picture 1" descr="ALMASHRI_0">
          <a:extLst>
            <a:ext uri="{FF2B5EF4-FFF2-40B4-BE49-F238E27FC236}">
              <a16:creationId xmlns:a16="http://schemas.microsoft.com/office/drawing/2014/main" id="{0B7D1393-E3DE-4B4A-941D-26390C1F7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96" name="Picture 1" descr="ALMASHRI_0">
          <a:extLst>
            <a:ext uri="{FF2B5EF4-FFF2-40B4-BE49-F238E27FC236}">
              <a16:creationId xmlns:a16="http://schemas.microsoft.com/office/drawing/2014/main" id="{2FFC0705-509E-4236-B8BB-5C8F412CD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897" name="Picture 1" descr="ALMASHRI_0">
          <a:extLst>
            <a:ext uri="{FF2B5EF4-FFF2-40B4-BE49-F238E27FC236}">
              <a16:creationId xmlns:a16="http://schemas.microsoft.com/office/drawing/2014/main" id="{6B4C2C58-BE18-4174-AC31-DF1B0C068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898" name="Picture 1" descr="ALMASHRI_0">
          <a:extLst>
            <a:ext uri="{FF2B5EF4-FFF2-40B4-BE49-F238E27FC236}">
              <a16:creationId xmlns:a16="http://schemas.microsoft.com/office/drawing/2014/main" id="{D3B092C7-EB84-4FAD-8B48-EB5F96F9B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899" name="Picture 1" descr="ALMASHRI_0">
          <a:extLst>
            <a:ext uri="{FF2B5EF4-FFF2-40B4-BE49-F238E27FC236}">
              <a16:creationId xmlns:a16="http://schemas.microsoft.com/office/drawing/2014/main" id="{8E8C3704-BAE0-42D4-A4E1-6F0D7BD53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0" name="Picture 1" descr="ALMASHRI_0">
          <a:extLst>
            <a:ext uri="{FF2B5EF4-FFF2-40B4-BE49-F238E27FC236}">
              <a16:creationId xmlns:a16="http://schemas.microsoft.com/office/drawing/2014/main" id="{8B335663-1570-472A-8407-16DCFC876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1" name="Picture 1" descr="ALMASHRI_0">
          <a:extLst>
            <a:ext uri="{FF2B5EF4-FFF2-40B4-BE49-F238E27FC236}">
              <a16:creationId xmlns:a16="http://schemas.microsoft.com/office/drawing/2014/main" id="{1710C43F-AD5C-444E-B790-DAA421324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2" name="Picture 1" descr="ALMASHRI_0">
          <a:extLst>
            <a:ext uri="{FF2B5EF4-FFF2-40B4-BE49-F238E27FC236}">
              <a16:creationId xmlns:a16="http://schemas.microsoft.com/office/drawing/2014/main" id="{92A3BCF3-918B-4918-8509-626FCD3CB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3" name="Picture 1" descr="ALMASHRI_0">
          <a:extLst>
            <a:ext uri="{FF2B5EF4-FFF2-40B4-BE49-F238E27FC236}">
              <a16:creationId xmlns:a16="http://schemas.microsoft.com/office/drawing/2014/main" id="{F13B9CF3-D813-4C24-9D54-6C8B79199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4" name="Picture 1" descr="ALMASHRI_0">
          <a:extLst>
            <a:ext uri="{FF2B5EF4-FFF2-40B4-BE49-F238E27FC236}">
              <a16:creationId xmlns:a16="http://schemas.microsoft.com/office/drawing/2014/main" id="{0226D9A8-BE71-464F-8C5E-949A1506D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5" name="Picture 1" descr="ALMASHRI_0">
          <a:extLst>
            <a:ext uri="{FF2B5EF4-FFF2-40B4-BE49-F238E27FC236}">
              <a16:creationId xmlns:a16="http://schemas.microsoft.com/office/drawing/2014/main" id="{E2698B29-43E8-4B6E-8323-52EA60B71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6" name="Picture 1" descr="ALMASHRI_0">
          <a:extLst>
            <a:ext uri="{FF2B5EF4-FFF2-40B4-BE49-F238E27FC236}">
              <a16:creationId xmlns:a16="http://schemas.microsoft.com/office/drawing/2014/main" id="{D557F920-A627-41C6-AC85-1E14DFE5F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7" name="Picture 1" descr="ALMASHRI_0">
          <a:extLst>
            <a:ext uri="{FF2B5EF4-FFF2-40B4-BE49-F238E27FC236}">
              <a16:creationId xmlns:a16="http://schemas.microsoft.com/office/drawing/2014/main" id="{0EA8A751-9B24-4596-82CB-BE3DF201C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8" name="Picture 1" descr="ALMASHRI_0">
          <a:extLst>
            <a:ext uri="{FF2B5EF4-FFF2-40B4-BE49-F238E27FC236}">
              <a16:creationId xmlns:a16="http://schemas.microsoft.com/office/drawing/2014/main" id="{5BDED54E-E4FF-4E4F-9964-EF5380317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09" name="Picture 1" descr="ALMASHRI_0">
          <a:extLst>
            <a:ext uri="{FF2B5EF4-FFF2-40B4-BE49-F238E27FC236}">
              <a16:creationId xmlns:a16="http://schemas.microsoft.com/office/drawing/2014/main" id="{D068A00C-F9AE-4B73-A776-555118FB9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10" name="Picture 1" descr="ALMASHRI_0">
          <a:extLst>
            <a:ext uri="{FF2B5EF4-FFF2-40B4-BE49-F238E27FC236}">
              <a16:creationId xmlns:a16="http://schemas.microsoft.com/office/drawing/2014/main" id="{DA6E958C-5691-4878-B713-D3EB7A44E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11" name="Picture 1" descr="ALMASHRI_0">
          <a:extLst>
            <a:ext uri="{FF2B5EF4-FFF2-40B4-BE49-F238E27FC236}">
              <a16:creationId xmlns:a16="http://schemas.microsoft.com/office/drawing/2014/main" id="{615DC638-C224-48EF-B84B-9F2AF437D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12" name="Picture 1" descr="ALMASHRI_0">
          <a:extLst>
            <a:ext uri="{FF2B5EF4-FFF2-40B4-BE49-F238E27FC236}">
              <a16:creationId xmlns:a16="http://schemas.microsoft.com/office/drawing/2014/main" id="{F778E3EC-7EFD-4DE9-9390-023B0F559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1000"/>
    <xdr:pic>
      <xdr:nvPicPr>
        <xdr:cNvPr id="913" name="Picture 1" descr="ALMASHRI_0">
          <a:extLst>
            <a:ext uri="{FF2B5EF4-FFF2-40B4-BE49-F238E27FC236}">
              <a16:creationId xmlns:a16="http://schemas.microsoft.com/office/drawing/2014/main" id="{78CCCFD7-89A7-481D-9827-F76D863E8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14" name="Picture 1" descr="ALMASHRI_0">
          <a:extLst>
            <a:ext uri="{FF2B5EF4-FFF2-40B4-BE49-F238E27FC236}">
              <a16:creationId xmlns:a16="http://schemas.microsoft.com/office/drawing/2014/main" id="{23C129CF-9B98-4C2C-BE16-D0054BB8A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15" name="Picture 1" descr="ALMASHRI_0">
          <a:extLst>
            <a:ext uri="{FF2B5EF4-FFF2-40B4-BE49-F238E27FC236}">
              <a16:creationId xmlns:a16="http://schemas.microsoft.com/office/drawing/2014/main" id="{749AE4A3-F43E-4B4B-BF15-2B108EB7F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16" name="Picture 1" descr="ALMASHRI_0">
          <a:extLst>
            <a:ext uri="{FF2B5EF4-FFF2-40B4-BE49-F238E27FC236}">
              <a16:creationId xmlns:a16="http://schemas.microsoft.com/office/drawing/2014/main" id="{F5C9F7B4-91E0-45A8-BC38-4C322A0D7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17" name="Picture 1" descr="ALMASHRI_0">
          <a:extLst>
            <a:ext uri="{FF2B5EF4-FFF2-40B4-BE49-F238E27FC236}">
              <a16:creationId xmlns:a16="http://schemas.microsoft.com/office/drawing/2014/main" id="{E812B1C7-A3AE-432E-B823-AA5006531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18" name="Picture 1" descr="ALMASHRI_0">
          <a:extLst>
            <a:ext uri="{FF2B5EF4-FFF2-40B4-BE49-F238E27FC236}">
              <a16:creationId xmlns:a16="http://schemas.microsoft.com/office/drawing/2014/main" id="{0064A99C-7D4A-4776-A400-E4B2AE357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19" name="Picture 1" descr="ALMASHRI_0">
          <a:extLst>
            <a:ext uri="{FF2B5EF4-FFF2-40B4-BE49-F238E27FC236}">
              <a16:creationId xmlns:a16="http://schemas.microsoft.com/office/drawing/2014/main" id="{A7E3E167-70EA-4B7B-990C-A2D897EC0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0" name="Picture 1" descr="ALMASHRI_0">
          <a:extLst>
            <a:ext uri="{FF2B5EF4-FFF2-40B4-BE49-F238E27FC236}">
              <a16:creationId xmlns:a16="http://schemas.microsoft.com/office/drawing/2014/main" id="{C19620E8-F615-4101-BAED-18EA8F0A6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1" name="Picture 1" descr="ALMASHRI_0">
          <a:extLst>
            <a:ext uri="{FF2B5EF4-FFF2-40B4-BE49-F238E27FC236}">
              <a16:creationId xmlns:a16="http://schemas.microsoft.com/office/drawing/2014/main" id="{8FB74E29-473A-4563-B500-4F75EC930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2" name="Picture 1" descr="ALMASHRI_0">
          <a:extLst>
            <a:ext uri="{FF2B5EF4-FFF2-40B4-BE49-F238E27FC236}">
              <a16:creationId xmlns:a16="http://schemas.microsoft.com/office/drawing/2014/main" id="{37D214AA-59F0-4917-8A68-82C62D9DE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3" name="Picture 1" descr="ALMASHRI_0">
          <a:extLst>
            <a:ext uri="{FF2B5EF4-FFF2-40B4-BE49-F238E27FC236}">
              <a16:creationId xmlns:a16="http://schemas.microsoft.com/office/drawing/2014/main" id="{843C8A09-3C3F-4B9E-879D-3583EE4BA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4" name="Picture 1" descr="ALMASHRI_0">
          <a:extLst>
            <a:ext uri="{FF2B5EF4-FFF2-40B4-BE49-F238E27FC236}">
              <a16:creationId xmlns:a16="http://schemas.microsoft.com/office/drawing/2014/main" id="{FA48FB84-353F-4C82-BE54-41DBD8D87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5" name="Picture 1" descr="ALMASHRI_0">
          <a:extLst>
            <a:ext uri="{FF2B5EF4-FFF2-40B4-BE49-F238E27FC236}">
              <a16:creationId xmlns:a16="http://schemas.microsoft.com/office/drawing/2014/main" id="{BB8590FE-C333-4F17-9ADC-E8B64086F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6" name="Picture 1" descr="ALMASHRI_0">
          <a:extLst>
            <a:ext uri="{FF2B5EF4-FFF2-40B4-BE49-F238E27FC236}">
              <a16:creationId xmlns:a16="http://schemas.microsoft.com/office/drawing/2014/main" id="{D2DF7CC4-7B26-442D-84FD-6682F0EAB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7" name="Picture 1" descr="ALMASHRI_0">
          <a:extLst>
            <a:ext uri="{FF2B5EF4-FFF2-40B4-BE49-F238E27FC236}">
              <a16:creationId xmlns:a16="http://schemas.microsoft.com/office/drawing/2014/main" id="{CDE25BAB-850B-493E-9122-B1280385B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8" name="Picture 1" descr="ALMASHRI_0">
          <a:extLst>
            <a:ext uri="{FF2B5EF4-FFF2-40B4-BE49-F238E27FC236}">
              <a16:creationId xmlns:a16="http://schemas.microsoft.com/office/drawing/2014/main" id="{35BCDD93-D5A1-4ABF-B26C-8529D5940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56235"/>
    <xdr:pic>
      <xdr:nvPicPr>
        <xdr:cNvPr id="929" name="Picture 1" descr="ALMASHRI_0">
          <a:extLst>
            <a:ext uri="{FF2B5EF4-FFF2-40B4-BE49-F238E27FC236}">
              <a16:creationId xmlns:a16="http://schemas.microsoft.com/office/drawing/2014/main" id="{C3A31E9B-54ED-48F8-9281-68C044E48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0" name="Picture 1" descr="ALMASHRI_0">
          <a:extLst>
            <a:ext uri="{FF2B5EF4-FFF2-40B4-BE49-F238E27FC236}">
              <a16:creationId xmlns:a16="http://schemas.microsoft.com/office/drawing/2014/main" id="{D9392174-FB98-4830-A5CD-18DF8A98B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1" name="Picture 1" descr="ALMASHRI_0">
          <a:extLst>
            <a:ext uri="{FF2B5EF4-FFF2-40B4-BE49-F238E27FC236}">
              <a16:creationId xmlns:a16="http://schemas.microsoft.com/office/drawing/2014/main" id="{BB337C93-06A5-43F8-9F59-5F644DE7F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2" name="Picture 1" descr="ALMASHRI_0">
          <a:extLst>
            <a:ext uri="{FF2B5EF4-FFF2-40B4-BE49-F238E27FC236}">
              <a16:creationId xmlns:a16="http://schemas.microsoft.com/office/drawing/2014/main" id="{EB90EE18-008E-4B55-A912-EDB5DAF24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3" name="Picture 1" descr="ALMASHRI_0">
          <a:extLst>
            <a:ext uri="{FF2B5EF4-FFF2-40B4-BE49-F238E27FC236}">
              <a16:creationId xmlns:a16="http://schemas.microsoft.com/office/drawing/2014/main" id="{06ED2C95-A92B-4692-9158-0FB42C614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4" name="Picture 1" descr="ALMASHRI_0">
          <a:extLst>
            <a:ext uri="{FF2B5EF4-FFF2-40B4-BE49-F238E27FC236}">
              <a16:creationId xmlns:a16="http://schemas.microsoft.com/office/drawing/2014/main" id="{525D1964-E22C-40D8-A64F-3CD0BF20D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5" name="Picture 1" descr="ALMASHRI_0">
          <a:extLst>
            <a:ext uri="{FF2B5EF4-FFF2-40B4-BE49-F238E27FC236}">
              <a16:creationId xmlns:a16="http://schemas.microsoft.com/office/drawing/2014/main" id="{D4F1BA81-AD14-4480-9030-D17747D8A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6" name="Picture 1" descr="ALMASHRI_0">
          <a:extLst>
            <a:ext uri="{FF2B5EF4-FFF2-40B4-BE49-F238E27FC236}">
              <a16:creationId xmlns:a16="http://schemas.microsoft.com/office/drawing/2014/main" id="{120C1F8D-18A7-46B6-8A38-DABFEA02D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7" name="Picture 1" descr="ALMASHRI_0">
          <a:extLst>
            <a:ext uri="{FF2B5EF4-FFF2-40B4-BE49-F238E27FC236}">
              <a16:creationId xmlns:a16="http://schemas.microsoft.com/office/drawing/2014/main" id="{8D92437C-7306-4D0E-BADE-E705F889D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8" name="Picture 1" descr="ALMASHRI_0">
          <a:extLst>
            <a:ext uri="{FF2B5EF4-FFF2-40B4-BE49-F238E27FC236}">
              <a16:creationId xmlns:a16="http://schemas.microsoft.com/office/drawing/2014/main" id="{1DAEA2CC-A64C-4133-AB03-F8A040BDB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39" name="Picture 1" descr="ALMASHRI_0">
          <a:extLst>
            <a:ext uri="{FF2B5EF4-FFF2-40B4-BE49-F238E27FC236}">
              <a16:creationId xmlns:a16="http://schemas.microsoft.com/office/drawing/2014/main" id="{8F1EC303-9A40-4717-8195-694174E1C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40" name="Picture 1" descr="ALMASHRI_0">
          <a:extLst>
            <a:ext uri="{FF2B5EF4-FFF2-40B4-BE49-F238E27FC236}">
              <a16:creationId xmlns:a16="http://schemas.microsoft.com/office/drawing/2014/main" id="{053D094E-FCEC-4519-80FC-54D6771F6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41" name="Picture 1" descr="ALMASHRI_0">
          <a:extLst>
            <a:ext uri="{FF2B5EF4-FFF2-40B4-BE49-F238E27FC236}">
              <a16:creationId xmlns:a16="http://schemas.microsoft.com/office/drawing/2014/main" id="{20228BE6-FCA8-4797-9085-489D14533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42" name="Picture 1" descr="ALMASHRI_0">
          <a:extLst>
            <a:ext uri="{FF2B5EF4-FFF2-40B4-BE49-F238E27FC236}">
              <a16:creationId xmlns:a16="http://schemas.microsoft.com/office/drawing/2014/main" id="{D8BB2AEC-7BD9-4B3B-8963-C9C77148D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43" name="Picture 1" descr="ALMASHRI_0">
          <a:extLst>
            <a:ext uri="{FF2B5EF4-FFF2-40B4-BE49-F238E27FC236}">
              <a16:creationId xmlns:a16="http://schemas.microsoft.com/office/drawing/2014/main" id="{DB17A6E1-207F-415A-AB9D-31631CB74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44" name="Picture 1" descr="ALMASHRI_0">
          <a:extLst>
            <a:ext uri="{FF2B5EF4-FFF2-40B4-BE49-F238E27FC236}">
              <a16:creationId xmlns:a16="http://schemas.microsoft.com/office/drawing/2014/main" id="{7C605771-F85E-4C7F-AC41-493AEA590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45" name="Picture 1" descr="ALMASHRI_0">
          <a:extLst>
            <a:ext uri="{FF2B5EF4-FFF2-40B4-BE49-F238E27FC236}">
              <a16:creationId xmlns:a16="http://schemas.microsoft.com/office/drawing/2014/main" id="{951C6E18-A8D3-4EB4-9347-158C0029F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46" name="Picture 1" descr="ALMASHRI_0">
          <a:extLst>
            <a:ext uri="{FF2B5EF4-FFF2-40B4-BE49-F238E27FC236}">
              <a16:creationId xmlns:a16="http://schemas.microsoft.com/office/drawing/2014/main" id="{A650D5D5-45D7-4A12-9F54-56604A95C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47" name="Picture 1" descr="ALMASHRI_0">
          <a:extLst>
            <a:ext uri="{FF2B5EF4-FFF2-40B4-BE49-F238E27FC236}">
              <a16:creationId xmlns:a16="http://schemas.microsoft.com/office/drawing/2014/main" id="{1C3F0289-26F5-4207-AED4-B8B6983A1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48" name="Picture 1" descr="ALMASHRI_0">
          <a:extLst>
            <a:ext uri="{FF2B5EF4-FFF2-40B4-BE49-F238E27FC236}">
              <a16:creationId xmlns:a16="http://schemas.microsoft.com/office/drawing/2014/main" id="{1C1DA727-3288-4E5C-BFF5-562E201DA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49" name="Picture 1" descr="ALMASHRI_0">
          <a:extLst>
            <a:ext uri="{FF2B5EF4-FFF2-40B4-BE49-F238E27FC236}">
              <a16:creationId xmlns:a16="http://schemas.microsoft.com/office/drawing/2014/main" id="{1B73A091-D513-44B3-B7AF-32B34C3FD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0" name="Picture 1" descr="ALMASHRI_0">
          <a:extLst>
            <a:ext uri="{FF2B5EF4-FFF2-40B4-BE49-F238E27FC236}">
              <a16:creationId xmlns:a16="http://schemas.microsoft.com/office/drawing/2014/main" id="{FB02F2F5-7DD5-4BDF-A90E-2201BA8FA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1" name="Picture 1" descr="ALMASHRI_0">
          <a:extLst>
            <a:ext uri="{FF2B5EF4-FFF2-40B4-BE49-F238E27FC236}">
              <a16:creationId xmlns:a16="http://schemas.microsoft.com/office/drawing/2014/main" id="{E0030254-9557-4E66-852A-7597CD2E6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2" name="Picture 1" descr="ALMASHRI_0">
          <a:extLst>
            <a:ext uri="{FF2B5EF4-FFF2-40B4-BE49-F238E27FC236}">
              <a16:creationId xmlns:a16="http://schemas.microsoft.com/office/drawing/2014/main" id="{0A551ABD-FFC2-4536-A7E4-D93BE3FDD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3" name="Picture 1" descr="ALMASHRI_0">
          <a:extLst>
            <a:ext uri="{FF2B5EF4-FFF2-40B4-BE49-F238E27FC236}">
              <a16:creationId xmlns:a16="http://schemas.microsoft.com/office/drawing/2014/main" id="{59E0AA6E-DBD1-49D5-9EC8-E938B9C5C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4" name="Picture 1" descr="ALMASHRI_0">
          <a:extLst>
            <a:ext uri="{FF2B5EF4-FFF2-40B4-BE49-F238E27FC236}">
              <a16:creationId xmlns:a16="http://schemas.microsoft.com/office/drawing/2014/main" id="{FC115174-EA24-4433-A0A5-9C6B70654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5" name="Picture 1" descr="ALMASHRI_0">
          <a:extLst>
            <a:ext uri="{FF2B5EF4-FFF2-40B4-BE49-F238E27FC236}">
              <a16:creationId xmlns:a16="http://schemas.microsoft.com/office/drawing/2014/main" id="{E72CEE44-C71F-41CC-AE2E-F3967BA1B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6" name="Picture 1" descr="ALMASHRI_0">
          <a:extLst>
            <a:ext uri="{FF2B5EF4-FFF2-40B4-BE49-F238E27FC236}">
              <a16:creationId xmlns:a16="http://schemas.microsoft.com/office/drawing/2014/main" id="{1DD83DD1-4DCE-4EBB-B703-6D057BFC6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7" name="Picture 1" descr="ALMASHRI_0">
          <a:extLst>
            <a:ext uri="{FF2B5EF4-FFF2-40B4-BE49-F238E27FC236}">
              <a16:creationId xmlns:a16="http://schemas.microsoft.com/office/drawing/2014/main" id="{BA5EE812-BD7F-4CEF-9365-FE1E68F59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8" name="Picture 1" descr="ALMASHRI_0">
          <a:extLst>
            <a:ext uri="{FF2B5EF4-FFF2-40B4-BE49-F238E27FC236}">
              <a16:creationId xmlns:a16="http://schemas.microsoft.com/office/drawing/2014/main" id="{8ABA3560-D03C-4CF5-8B08-94F7D4EFF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59" name="Picture 1" descr="ALMASHRI_0">
          <a:extLst>
            <a:ext uri="{FF2B5EF4-FFF2-40B4-BE49-F238E27FC236}">
              <a16:creationId xmlns:a16="http://schemas.microsoft.com/office/drawing/2014/main" id="{96F3CCBC-180B-40D8-B898-68BE2C09B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60" name="Picture 1" descr="ALMASHRI_0">
          <a:extLst>
            <a:ext uri="{FF2B5EF4-FFF2-40B4-BE49-F238E27FC236}">
              <a16:creationId xmlns:a16="http://schemas.microsoft.com/office/drawing/2014/main" id="{65EB5536-42E0-4689-8F95-34FE9E064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961" name="Picture 1" descr="ALMASHRI_0">
          <a:extLst>
            <a:ext uri="{FF2B5EF4-FFF2-40B4-BE49-F238E27FC236}">
              <a16:creationId xmlns:a16="http://schemas.microsoft.com/office/drawing/2014/main" id="{BBBBE44E-369D-4CA1-9D52-DB0BD4EA9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62" name="Picture 1" descr="ALMASHRI_0">
          <a:extLst>
            <a:ext uri="{FF2B5EF4-FFF2-40B4-BE49-F238E27FC236}">
              <a16:creationId xmlns:a16="http://schemas.microsoft.com/office/drawing/2014/main" id="{34885C2C-F5A9-433E-A5A1-BCCDA38F3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63" name="Picture 1" descr="ALMASHRI_0">
          <a:extLst>
            <a:ext uri="{FF2B5EF4-FFF2-40B4-BE49-F238E27FC236}">
              <a16:creationId xmlns:a16="http://schemas.microsoft.com/office/drawing/2014/main" id="{86E2866F-FDEE-454D-AD36-9502021C9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64" name="Picture 1" descr="ALMASHRI_0">
          <a:extLst>
            <a:ext uri="{FF2B5EF4-FFF2-40B4-BE49-F238E27FC236}">
              <a16:creationId xmlns:a16="http://schemas.microsoft.com/office/drawing/2014/main" id="{63920462-89DC-422C-B042-87A6A03C6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65" name="Picture 1" descr="ALMASHRI_0">
          <a:extLst>
            <a:ext uri="{FF2B5EF4-FFF2-40B4-BE49-F238E27FC236}">
              <a16:creationId xmlns:a16="http://schemas.microsoft.com/office/drawing/2014/main" id="{E3FD2608-ABDD-4234-892D-3218E08D7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66" name="Picture 1" descr="ALMASHRI_0">
          <a:extLst>
            <a:ext uri="{FF2B5EF4-FFF2-40B4-BE49-F238E27FC236}">
              <a16:creationId xmlns:a16="http://schemas.microsoft.com/office/drawing/2014/main" id="{324D152A-F555-461C-B1A4-686FEEDE9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67" name="Picture 1" descr="ALMASHRI_0">
          <a:extLst>
            <a:ext uri="{FF2B5EF4-FFF2-40B4-BE49-F238E27FC236}">
              <a16:creationId xmlns:a16="http://schemas.microsoft.com/office/drawing/2014/main" id="{A8D7C40B-2B69-4994-925F-D1EC80879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68" name="Picture 1" descr="ALMASHRI_0">
          <a:extLst>
            <a:ext uri="{FF2B5EF4-FFF2-40B4-BE49-F238E27FC236}">
              <a16:creationId xmlns:a16="http://schemas.microsoft.com/office/drawing/2014/main" id="{176D8633-7555-4A8B-AA58-F3423814A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69" name="Picture 1" descr="ALMASHRI_0">
          <a:extLst>
            <a:ext uri="{FF2B5EF4-FFF2-40B4-BE49-F238E27FC236}">
              <a16:creationId xmlns:a16="http://schemas.microsoft.com/office/drawing/2014/main" id="{9320D914-2A58-4814-A12D-9F6ED04F9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70" name="Picture 1" descr="ALMASHRI_0">
          <a:extLst>
            <a:ext uri="{FF2B5EF4-FFF2-40B4-BE49-F238E27FC236}">
              <a16:creationId xmlns:a16="http://schemas.microsoft.com/office/drawing/2014/main" id="{744B5F1B-70B9-450B-83AE-D68A13422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71" name="Picture 1" descr="ALMASHRI_0">
          <a:extLst>
            <a:ext uri="{FF2B5EF4-FFF2-40B4-BE49-F238E27FC236}">
              <a16:creationId xmlns:a16="http://schemas.microsoft.com/office/drawing/2014/main" id="{D6D9C5B1-394E-4A6C-A169-3CD00ED98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72" name="Picture 1" descr="ALMASHRI_0">
          <a:extLst>
            <a:ext uri="{FF2B5EF4-FFF2-40B4-BE49-F238E27FC236}">
              <a16:creationId xmlns:a16="http://schemas.microsoft.com/office/drawing/2014/main" id="{F3E94CF1-0757-426E-B326-F90916049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73" name="Picture 1" descr="ALMASHRI_0">
          <a:extLst>
            <a:ext uri="{FF2B5EF4-FFF2-40B4-BE49-F238E27FC236}">
              <a16:creationId xmlns:a16="http://schemas.microsoft.com/office/drawing/2014/main" id="{3D72B205-5975-4700-8EC3-996A7C9E7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74" name="Picture 1" descr="ALMASHRI_0">
          <a:extLst>
            <a:ext uri="{FF2B5EF4-FFF2-40B4-BE49-F238E27FC236}">
              <a16:creationId xmlns:a16="http://schemas.microsoft.com/office/drawing/2014/main" id="{124EE91F-38C7-47EA-99A6-E9B80FF25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75" name="Picture 1" descr="ALMASHRI_0">
          <a:extLst>
            <a:ext uri="{FF2B5EF4-FFF2-40B4-BE49-F238E27FC236}">
              <a16:creationId xmlns:a16="http://schemas.microsoft.com/office/drawing/2014/main" id="{46991CAE-7382-4B2B-A67C-D0672C8C7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76" name="Picture 1" descr="ALMASHRI_0">
          <a:extLst>
            <a:ext uri="{FF2B5EF4-FFF2-40B4-BE49-F238E27FC236}">
              <a16:creationId xmlns:a16="http://schemas.microsoft.com/office/drawing/2014/main" id="{11F27D26-E6C2-45FB-B388-5A2613B46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26720"/>
    <xdr:pic>
      <xdr:nvPicPr>
        <xdr:cNvPr id="977" name="Picture 1" descr="ALMASHRI_0">
          <a:extLst>
            <a:ext uri="{FF2B5EF4-FFF2-40B4-BE49-F238E27FC236}">
              <a16:creationId xmlns:a16="http://schemas.microsoft.com/office/drawing/2014/main" id="{3AF58A4C-2E88-4848-9F60-CE3D5DD28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78" name="Picture 1" descr="ALMASHRI_0">
          <a:extLst>
            <a:ext uri="{FF2B5EF4-FFF2-40B4-BE49-F238E27FC236}">
              <a16:creationId xmlns:a16="http://schemas.microsoft.com/office/drawing/2014/main" id="{2DB5D05F-202F-42E8-BE6A-0BC98B3FB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79" name="Picture 1" descr="ALMASHRI_0">
          <a:extLst>
            <a:ext uri="{FF2B5EF4-FFF2-40B4-BE49-F238E27FC236}">
              <a16:creationId xmlns:a16="http://schemas.microsoft.com/office/drawing/2014/main" id="{A3F58DB1-66F4-40E2-8768-CCC4822DD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0" name="Picture 1" descr="ALMASHRI_0">
          <a:extLst>
            <a:ext uri="{FF2B5EF4-FFF2-40B4-BE49-F238E27FC236}">
              <a16:creationId xmlns:a16="http://schemas.microsoft.com/office/drawing/2014/main" id="{C9D142A8-C46B-4907-A281-B8EB3D27F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1" name="Picture 1" descr="ALMASHRI_0">
          <a:extLst>
            <a:ext uri="{FF2B5EF4-FFF2-40B4-BE49-F238E27FC236}">
              <a16:creationId xmlns:a16="http://schemas.microsoft.com/office/drawing/2014/main" id="{DA27827F-717F-472A-B890-ACCBBA7F5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2" name="Picture 1" descr="ALMASHRI_0">
          <a:extLst>
            <a:ext uri="{FF2B5EF4-FFF2-40B4-BE49-F238E27FC236}">
              <a16:creationId xmlns:a16="http://schemas.microsoft.com/office/drawing/2014/main" id="{74D23324-8A27-4999-AD1D-94E3666D2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3" name="Picture 1" descr="ALMASHRI_0">
          <a:extLst>
            <a:ext uri="{FF2B5EF4-FFF2-40B4-BE49-F238E27FC236}">
              <a16:creationId xmlns:a16="http://schemas.microsoft.com/office/drawing/2014/main" id="{43ADF208-AEA2-455D-9783-105AF8B89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4" name="Picture 1" descr="ALMASHRI_0">
          <a:extLst>
            <a:ext uri="{FF2B5EF4-FFF2-40B4-BE49-F238E27FC236}">
              <a16:creationId xmlns:a16="http://schemas.microsoft.com/office/drawing/2014/main" id="{96B868C4-B832-48A2-8A7B-87C805775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5" name="Picture 1" descr="ALMASHRI_0">
          <a:extLst>
            <a:ext uri="{FF2B5EF4-FFF2-40B4-BE49-F238E27FC236}">
              <a16:creationId xmlns:a16="http://schemas.microsoft.com/office/drawing/2014/main" id="{14B01CBB-110A-4EC6-A573-478907A34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6" name="Picture 1" descr="ALMASHRI_0">
          <a:extLst>
            <a:ext uri="{FF2B5EF4-FFF2-40B4-BE49-F238E27FC236}">
              <a16:creationId xmlns:a16="http://schemas.microsoft.com/office/drawing/2014/main" id="{08D76941-BFC8-4AF5-AF8F-B59FBD034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7" name="Picture 1" descr="ALMASHRI_0">
          <a:extLst>
            <a:ext uri="{FF2B5EF4-FFF2-40B4-BE49-F238E27FC236}">
              <a16:creationId xmlns:a16="http://schemas.microsoft.com/office/drawing/2014/main" id="{64CB494F-1BC0-4D16-86EF-2B65D3B91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8" name="Picture 1" descr="ALMASHRI_0">
          <a:extLst>
            <a:ext uri="{FF2B5EF4-FFF2-40B4-BE49-F238E27FC236}">
              <a16:creationId xmlns:a16="http://schemas.microsoft.com/office/drawing/2014/main" id="{D9FF70A4-B625-411A-80D3-8CB59910D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89" name="Picture 1" descr="ALMASHRI_0">
          <a:extLst>
            <a:ext uri="{FF2B5EF4-FFF2-40B4-BE49-F238E27FC236}">
              <a16:creationId xmlns:a16="http://schemas.microsoft.com/office/drawing/2014/main" id="{CD0B8ACC-FF6E-4ECE-A91E-B99B4FFF0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90" name="Picture 1" descr="ALMASHRI_0">
          <a:extLst>
            <a:ext uri="{FF2B5EF4-FFF2-40B4-BE49-F238E27FC236}">
              <a16:creationId xmlns:a16="http://schemas.microsoft.com/office/drawing/2014/main" id="{519E4086-9B84-49E3-B41E-7036A505C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91" name="Picture 1" descr="ALMASHRI_0">
          <a:extLst>
            <a:ext uri="{FF2B5EF4-FFF2-40B4-BE49-F238E27FC236}">
              <a16:creationId xmlns:a16="http://schemas.microsoft.com/office/drawing/2014/main" id="{526228C8-4AAD-4DC7-B4D2-C763BAB53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92" name="Picture 1" descr="ALMASHRI_0">
          <a:extLst>
            <a:ext uri="{FF2B5EF4-FFF2-40B4-BE49-F238E27FC236}">
              <a16:creationId xmlns:a16="http://schemas.microsoft.com/office/drawing/2014/main" id="{090EFDCE-5575-4D0E-867D-12C54F366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417195"/>
    <xdr:pic>
      <xdr:nvPicPr>
        <xdr:cNvPr id="993" name="Picture 1" descr="ALMASHRI_0">
          <a:extLst>
            <a:ext uri="{FF2B5EF4-FFF2-40B4-BE49-F238E27FC236}">
              <a16:creationId xmlns:a16="http://schemas.microsoft.com/office/drawing/2014/main" id="{FCB624E8-6646-4F3C-AB7B-9A9ED1951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94" name="Picture 1" descr="ALMASHRI_0">
          <a:extLst>
            <a:ext uri="{FF2B5EF4-FFF2-40B4-BE49-F238E27FC236}">
              <a16:creationId xmlns:a16="http://schemas.microsoft.com/office/drawing/2014/main" id="{1E4B3440-5D4B-4D0E-96C4-D7B7E2A5A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95" name="Picture 1" descr="ALMASHRI_0">
          <a:extLst>
            <a:ext uri="{FF2B5EF4-FFF2-40B4-BE49-F238E27FC236}">
              <a16:creationId xmlns:a16="http://schemas.microsoft.com/office/drawing/2014/main" id="{A1BCC540-3629-4B6A-BC66-CDC84A6C0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96" name="Picture 1" descr="ALMASHRI_0">
          <a:extLst>
            <a:ext uri="{FF2B5EF4-FFF2-40B4-BE49-F238E27FC236}">
              <a16:creationId xmlns:a16="http://schemas.microsoft.com/office/drawing/2014/main" id="{E5835CFB-08FE-4B8A-AB65-648041418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97" name="Picture 1" descr="ALMASHRI_0">
          <a:extLst>
            <a:ext uri="{FF2B5EF4-FFF2-40B4-BE49-F238E27FC236}">
              <a16:creationId xmlns:a16="http://schemas.microsoft.com/office/drawing/2014/main" id="{FD719D3B-5094-425F-A5E1-8FDB554CE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98" name="Picture 1" descr="ALMASHRI_0">
          <a:extLst>
            <a:ext uri="{FF2B5EF4-FFF2-40B4-BE49-F238E27FC236}">
              <a16:creationId xmlns:a16="http://schemas.microsoft.com/office/drawing/2014/main" id="{FA1BDD2C-5D3E-4448-B68E-83B074A15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999" name="Picture 1" descr="ALMASHRI_0">
          <a:extLst>
            <a:ext uri="{FF2B5EF4-FFF2-40B4-BE49-F238E27FC236}">
              <a16:creationId xmlns:a16="http://schemas.microsoft.com/office/drawing/2014/main" id="{611D17F2-2A80-4F66-B46B-940230E9D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0" name="Picture 1" descr="ALMASHRI_0">
          <a:extLst>
            <a:ext uri="{FF2B5EF4-FFF2-40B4-BE49-F238E27FC236}">
              <a16:creationId xmlns:a16="http://schemas.microsoft.com/office/drawing/2014/main" id="{9E44E97F-9322-4D59-8F7C-03A210B6E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1" name="Picture 1" descr="ALMASHRI_0">
          <a:extLst>
            <a:ext uri="{FF2B5EF4-FFF2-40B4-BE49-F238E27FC236}">
              <a16:creationId xmlns:a16="http://schemas.microsoft.com/office/drawing/2014/main" id="{99C6DEB5-A061-434E-B3C7-BBDF44F6A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2" name="Picture 1" descr="ALMASHRI_0">
          <a:extLst>
            <a:ext uri="{FF2B5EF4-FFF2-40B4-BE49-F238E27FC236}">
              <a16:creationId xmlns:a16="http://schemas.microsoft.com/office/drawing/2014/main" id="{2503ED77-E65B-43FF-8A92-05D08BC25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3" name="Picture 1" descr="ALMASHRI_0">
          <a:extLst>
            <a:ext uri="{FF2B5EF4-FFF2-40B4-BE49-F238E27FC236}">
              <a16:creationId xmlns:a16="http://schemas.microsoft.com/office/drawing/2014/main" id="{7A89C3B1-2CC9-47AC-9C6F-1A4215D3D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4" name="Picture 1" descr="ALMASHRI_0">
          <a:extLst>
            <a:ext uri="{FF2B5EF4-FFF2-40B4-BE49-F238E27FC236}">
              <a16:creationId xmlns:a16="http://schemas.microsoft.com/office/drawing/2014/main" id="{824602E8-FBB4-48B1-9B6B-DB8B2FBF0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5" name="Picture 1" descr="ALMASHRI_0">
          <a:extLst>
            <a:ext uri="{FF2B5EF4-FFF2-40B4-BE49-F238E27FC236}">
              <a16:creationId xmlns:a16="http://schemas.microsoft.com/office/drawing/2014/main" id="{0C8A5565-7786-4A83-902E-E57B0CEFE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6" name="Picture 1" descr="ALMASHRI_0">
          <a:extLst>
            <a:ext uri="{FF2B5EF4-FFF2-40B4-BE49-F238E27FC236}">
              <a16:creationId xmlns:a16="http://schemas.microsoft.com/office/drawing/2014/main" id="{92F6AD00-4CB7-4334-8805-BA1BE4298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7" name="Picture 1" descr="ALMASHRI_0">
          <a:extLst>
            <a:ext uri="{FF2B5EF4-FFF2-40B4-BE49-F238E27FC236}">
              <a16:creationId xmlns:a16="http://schemas.microsoft.com/office/drawing/2014/main" id="{3F58326D-AC8D-4755-9546-81C99F4B8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8" name="Picture 1" descr="ALMASHRI_0">
          <a:extLst>
            <a:ext uri="{FF2B5EF4-FFF2-40B4-BE49-F238E27FC236}">
              <a16:creationId xmlns:a16="http://schemas.microsoft.com/office/drawing/2014/main" id="{8475E27A-700D-4A05-BE39-EF2DE7859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94335"/>
    <xdr:pic>
      <xdr:nvPicPr>
        <xdr:cNvPr id="1009" name="Picture 1" descr="ALMASHRI_0">
          <a:extLst>
            <a:ext uri="{FF2B5EF4-FFF2-40B4-BE49-F238E27FC236}">
              <a16:creationId xmlns:a16="http://schemas.microsoft.com/office/drawing/2014/main" id="{31C4AF2F-C642-4F1C-9694-8FA5CD952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0" name="Picture 1" descr="ALMASHRI_0">
          <a:extLst>
            <a:ext uri="{FF2B5EF4-FFF2-40B4-BE49-F238E27FC236}">
              <a16:creationId xmlns:a16="http://schemas.microsoft.com/office/drawing/2014/main" id="{763E26CB-17BB-465A-9EC4-51044EBEE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1" name="Picture 1" descr="ALMASHRI_0">
          <a:extLst>
            <a:ext uri="{FF2B5EF4-FFF2-40B4-BE49-F238E27FC236}">
              <a16:creationId xmlns:a16="http://schemas.microsoft.com/office/drawing/2014/main" id="{6798702D-E2E7-496E-B255-F50A5E8AB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2" name="Picture 1" descr="ALMASHRI_0">
          <a:extLst>
            <a:ext uri="{FF2B5EF4-FFF2-40B4-BE49-F238E27FC236}">
              <a16:creationId xmlns:a16="http://schemas.microsoft.com/office/drawing/2014/main" id="{8EC4D1A6-3727-4008-A08E-E324FA7C2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3" name="Picture 1" descr="ALMASHRI_0">
          <a:extLst>
            <a:ext uri="{FF2B5EF4-FFF2-40B4-BE49-F238E27FC236}">
              <a16:creationId xmlns:a16="http://schemas.microsoft.com/office/drawing/2014/main" id="{A00674D3-B516-4B54-824E-8D7897A21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4" name="Picture 1" descr="ALMASHRI_0">
          <a:extLst>
            <a:ext uri="{FF2B5EF4-FFF2-40B4-BE49-F238E27FC236}">
              <a16:creationId xmlns:a16="http://schemas.microsoft.com/office/drawing/2014/main" id="{0B366BEB-48F2-4BE8-B2AE-556832D22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5" name="Picture 1" descr="ALMASHRI_0">
          <a:extLst>
            <a:ext uri="{FF2B5EF4-FFF2-40B4-BE49-F238E27FC236}">
              <a16:creationId xmlns:a16="http://schemas.microsoft.com/office/drawing/2014/main" id="{FDFA0399-A0AB-46C9-8BF1-9E7174D33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6" name="Picture 1" descr="ALMASHRI_0">
          <a:extLst>
            <a:ext uri="{FF2B5EF4-FFF2-40B4-BE49-F238E27FC236}">
              <a16:creationId xmlns:a16="http://schemas.microsoft.com/office/drawing/2014/main" id="{B1C56F26-3707-4BCF-9A17-E2F8B18F9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7" name="Picture 1" descr="ALMASHRI_0">
          <a:extLst>
            <a:ext uri="{FF2B5EF4-FFF2-40B4-BE49-F238E27FC236}">
              <a16:creationId xmlns:a16="http://schemas.microsoft.com/office/drawing/2014/main" id="{9AE0ED5D-B946-4722-B229-54AFEA459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8" name="Picture 1" descr="ALMASHRI_0">
          <a:extLst>
            <a:ext uri="{FF2B5EF4-FFF2-40B4-BE49-F238E27FC236}">
              <a16:creationId xmlns:a16="http://schemas.microsoft.com/office/drawing/2014/main" id="{4B22CA97-240A-4BA9-808D-119DF3D51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19" name="Picture 1" descr="ALMASHRI_0">
          <a:extLst>
            <a:ext uri="{FF2B5EF4-FFF2-40B4-BE49-F238E27FC236}">
              <a16:creationId xmlns:a16="http://schemas.microsoft.com/office/drawing/2014/main" id="{6B0FE5EE-45B4-4C44-B454-BAF3C4B7C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20" name="Picture 1" descr="ALMASHRI_0">
          <a:extLst>
            <a:ext uri="{FF2B5EF4-FFF2-40B4-BE49-F238E27FC236}">
              <a16:creationId xmlns:a16="http://schemas.microsoft.com/office/drawing/2014/main" id="{0D37A321-3134-45B5-90E7-9AEC24395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21" name="Picture 1" descr="ALMASHRI_0">
          <a:extLst>
            <a:ext uri="{FF2B5EF4-FFF2-40B4-BE49-F238E27FC236}">
              <a16:creationId xmlns:a16="http://schemas.microsoft.com/office/drawing/2014/main" id="{69481769-01DB-4D8F-92D7-292A8D5E4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22" name="Picture 1" descr="ALMASHRI_0">
          <a:extLst>
            <a:ext uri="{FF2B5EF4-FFF2-40B4-BE49-F238E27FC236}">
              <a16:creationId xmlns:a16="http://schemas.microsoft.com/office/drawing/2014/main" id="{67F147E5-C19E-4F46-BBD1-4CB26F7DE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86</xdr:row>
      <xdr:rowOff>0</xdr:rowOff>
    </xdr:from>
    <xdr:ext cx="0" cy="384810"/>
    <xdr:pic>
      <xdr:nvPicPr>
        <xdr:cNvPr id="1023" name="Picture 1" descr="ALMASHRI_0">
          <a:extLst>
            <a:ext uri="{FF2B5EF4-FFF2-40B4-BE49-F238E27FC236}">
              <a16:creationId xmlns:a16="http://schemas.microsoft.com/office/drawing/2014/main" id="{C3529D06-8477-4B65-861C-5E3B64E7A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588895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24" name="Picture 1023" descr="ALMASHRI_0">
          <a:extLst>
            <a:ext uri="{FF2B5EF4-FFF2-40B4-BE49-F238E27FC236}">
              <a16:creationId xmlns:a16="http://schemas.microsoft.com/office/drawing/2014/main" id="{0EFACDC8-628A-4197-9E11-7C92FFF17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25" name="Picture 1" descr="ALMASHRI_0">
          <a:extLst>
            <a:ext uri="{FF2B5EF4-FFF2-40B4-BE49-F238E27FC236}">
              <a16:creationId xmlns:a16="http://schemas.microsoft.com/office/drawing/2014/main" id="{29AC83F6-CF34-40C4-B60E-D8CADA918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26" name="Picture 1" descr="ALMASHRI_0">
          <a:extLst>
            <a:ext uri="{FF2B5EF4-FFF2-40B4-BE49-F238E27FC236}">
              <a16:creationId xmlns:a16="http://schemas.microsoft.com/office/drawing/2014/main" id="{006EB76F-5B2C-4BF8-AABD-5EFC9C4DF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27" name="Picture 1" descr="ALMASHRI_0">
          <a:extLst>
            <a:ext uri="{FF2B5EF4-FFF2-40B4-BE49-F238E27FC236}">
              <a16:creationId xmlns:a16="http://schemas.microsoft.com/office/drawing/2014/main" id="{6B665CBF-1733-4149-B0F5-FDF4697E8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28" name="Picture 1" descr="ALMASHRI_0">
          <a:extLst>
            <a:ext uri="{FF2B5EF4-FFF2-40B4-BE49-F238E27FC236}">
              <a16:creationId xmlns:a16="http://schemas.microsoft.com/office/drawing/2014/main" id="{5A357163-1262-4EF3-94B0-655C41D05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29" name="Picture 1" descr="ALMASHRI_0">
          <a:extLst>
            <a:ext uri="{FF2B5EF4-FFF2-40B4-BE49-F238E27FC236}">
              <a16:creationId xmlns:a16="http://schemas.microsoft.com/office/drawing/2014/main" id="{A80E3345-1470-4C40-8561-87C48A766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0" name="Picture 1" descr="ALMASHRI_0">
          <a:extLst>
            <a:ext uri="{FF2B5EF4-FFF2-40B4-BE49-F238E27FC236}">
              <a16:creationId xmlns:a16="http://schemas.microsoft.com/office/drawing/2014/main" id="{C4F65E77-925C-4F94-9C64-2081ADE93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1" name="Picture 1" descr="ALMASHRI_0">
          <a:extLst>
            <a:ext uri="{FF2B5EF4-FFF2-40B4-BE49-F238E27FC236}">
              <a16:creationId xmlns:a16="http://schemas.microsoft.com/office/drawing/2014/main" id="{0E2940F2-7970-4F42-A911-4380291D0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2" name="Picture 1" descr="ALMASHRI_0">
          <a:extLst>
            <a:ext uri="{FF2B5EF4-FFF2-40B4-BE49-F238E27FC236}">
              <a16:creationId xmlns:a16="http://schemas.microsoft.com/office/drawing/2014/main" id="{0B4BE2B6-E84B-4410-8829-7332ED721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3" name="Picture 1" descr="ALMASHRI_0">
          <a:extLst>
            <a:ext uri="{FF2B5EF4-FFF2-40B4-BE49-F238E27FC236}">
              <a16:creationId xmlns:a16="http://schemas.microsoft.com/office/drawing/2014/main" id="{39E309E1-859A-4401-854E-1C55617A6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4" name="Picture 1" descr="ALMASHRI_0">
          <a:extLst>
            <a:ext uri="{FF2B5EF4-FFF2-40B4-BE49-F238E27FC236}">
              <a16:creationId xmlns:a16="http://schemas.microsoft.com/office/drawing/2014/main" id="{20A0E6AF-CB61-4D01-8145-79E59E751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5" name="Picture 1" descr="ALMASHRI_0">
          <a:extLst>
            <a:ext uri="{FF2B5EF4-FFF2-40B4-BE49-F238E27FC236}">
              <a16:creationId xmlns:a16="http://schemas.microsoft.com/office/drawing/2014/main" id="{C45301FF-5855-49B3-B3DB-04A6D3461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6" name="Picture 1" descr="ALMASHRI_0">
          <a:extLst>
            <a:ext uri="{FF2B5EF4-FFF2-40B4-BE49-F238E27FC236}">
              <a16:creationId xmlns:a16="http://schemas.microsoft.com/office/drawing/2014/main" id="{813A41DD-8B84-4DA4-A69D-5798B1670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7" name="Picture 1" descr="ALMASHRI_0">
          <a:extLst>
            <a:ext uri="{FF2B5EF4-FFF2-40B4-BE49-F238E27FC236}">
              <a16:creationId xmlns:a16="http://schemas.microsoft.com/office/drawing/2014/main" id="{85A81215-6AB6-4B83-B0E9-ABCEDC4AE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8" name="Picture 1" descr="ALMASHRI_0">
          <a:extLst>
            <a:ext uri="{FF2B5EF4-FFF2-40B4-BE49-F238E27FC236}">
              <a16:creationId xmlns:a16="http://schemas.microsoft.com/office/drawing/2014/main" id="{7D46700A-2DD2-44D2-9A20-AE876E554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039" name="Picture 1" descr="ALMASHRI_0">
          <a:extLst>
            <a:ext uri="{FF2B5EF4-FFF2-40B4-BE49-F238E27FC236}">
              <a16:creationId xmlns:a16="http://schemas.microsoft.com/office/drawing/2014/main" id="{BF1BED63-85B5-46CA-B584-A9299164E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0" name="Picture 1" descr="ALMASHRI_0">
          <a:extLst>
            <a:ext uri="{FF2B5EF4-FFF2-40B4-BE49-F238E27FC236}">
              <a16:creationId xmlns:a16="http://schemas.microsoft.com/office/drawing/2014/main" id="{EEB75A8E-6A36-46C7-BD99-FC6B4258E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1" name="Picture 1" descr="ALMASHRI_0">
          <a:extLst>
            <a:ext uri="{FF2B5EF4-FFF2-40B4-BE49-F238E27FC236}">
              <a16:creationId xmlns:a16="http://schemas.microsoft.com/office/drawing/2014/main" id="{CB461F5C-106F-4195-BA87-709019829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2" name="Picture 1" descr="ALMASHRI_0">
          <a:extLst>
            <a:ext uri="{FF2B5EF4-FFF2-40B4-BE49-F238E27FC236}">
              <a16:creationId xmlns:a16="http://schemas.microsoft.com/office/drawing/2014/main" id="{82F1C02B-D3A2-4435-B695-777135A45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3" name="Picture 1" descr="ALMASHRI_0">
          <a:extLst>
            <a:ext uri="{FF2B5EF4-FFF2-40B4-BE49-F238E27FC236}">
              <a16:creationId xmlns:a16="http://schemas.microsoft.com/office/drawing/2014/main" id="{FBABD839-F1CE-4AB6-ADCE-2B0A96489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4" name="Picture 1" descr="ALMASHRI_0">
          <a:extLst>
            <a:ext uri="{FF2B5EF4-FFF2-40B4-BE49-F238E27FC236}">
              <a16:creationId xmlns:a16="http://schemas.microsoft.com/office/drawing/2014/main" id="{085D9F1C-469F-4968-A322-949A0CA11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5" name="Picture 1" descr="ALMASHRI_0">
          <a:extLst>
            <a:ext uri="{FF2B5EF4-FFF2-40B4-BE49-F238E27FC236}">
              <a16:creationId xmlns:a16="http://schemas.microsoft.com/office/drawing/2014/main" id="{4800F977-678E-4A17-907D-BEAD5F8C5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6" name="Picture 1" descr="ALMASHRI_0">
          <a:extLst>
            <a:ext uri="{FF2B5EF4-FFF2-40B4-BE49-F238E27FC236}">
              <a16:creationId xmlns:a16="http://schemas.microsoft.com/office/drawing/2014/main" id="{CB198F33-9F1C-4989-812F-10E6BB720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7" name="Picture 1" descr="ALMASHRI_0">
          <a:extLst>
            <a:ext uri="{FF2B5EF4-FFF2-40B4-BE49-F238E27FC236}">
              <a16:creationId xmlns:a16="http://schemas.microsoft.com/office/drawing/2014/main" id="{37B427A7-1EA9-4024-A9BA-144F0200B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8" name="Picture 1" descr="ALMASHRI_0">
          <a:extLst>
            <a:ext uri="{FF2B5EF4-FFF2-40B4-BE49-F238E27FC236}">
              <a16:creationId xmlns:a16="http://schemas.microsoft.com/office/drawing/2014/main" id="{8609CF2F-BF24-42C2-9DE3-2CD9EEFBE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49" name="Picture 1" descr="ALMASHRI_0">
          <a:extLst>
            <a:ext uri="{FF2B5EF4-FFF2-40B4-BE49-F238E27FC236}">
              <a16:creationId xmlns:a16="http://schemas.microsoft.com/office/drawing/2014/main" id="{249C15CD-AA47-409B-9233-BC165EA04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50" name="Picture 1" descr="ALMASHRI_0">
          <a:extLst>
            <a:ext uri="{FF2B5EF4-FFF2-40B4-BE49-F238E27FC236}">
              <a16:creationId xmlns:a16="http://schemas.microsoft.com/office/drawing/2014/main" id="{39251069-F196-4C6B-8824-CADBF61F3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51" name="Picture 1" descr="ALMASHRI_0">
          <a:extLst>
            <a:ext uri="{FF2B5EF4-FFF2-40B4-BE49-F238E27FC236}">
              <a16:creationId xmlns:a16="http://schemas.microsoft.com/office/drawing/2014/main" id="{B7AB6CF8-DB4B-4DC7-8AC9-8AB2153D4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52" name="Picture 1" descr="ALMASHRI_0">
          <a:extLst>
            <a:ext uri="{FF2B5EF4-FFF2-40B4-BE49-F238E27FC236}">
              <a16:creationId xmlns:a16="http://schemas.microsoft.com/office/drawing/2014/main" id="{B687EE45-B4E8-4BC3-BC3E-B4C142ED3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53" name="Picture 1" descr="ALMASHRI_0">
          <a:extLst>
            <a:ext uri="{FF2B5EF4-FFF2-40B4-BE49-F238E27FC236}">
              <a16:creationId xmlns:a16="http://schemas.microsoft.com/office/drawing/2014/main" id="{CD8A2016-6D51-4151-ACD5-779B66615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54" name="Picture 1" descr="ALMASHRI_0">
          <a:extLst>
            <a:ext uri="{FF2B5EF4-FFF2-40B4-BE49-F238E27FC236}">
              <a16:creationId xmlns:a16="http://schemas.microsoft.com/office/drawing/2014/main" id="{FFA4339D-826A-4987-AB60-568234109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055" name="Picture 1" descr="ALMASHRI_0">
          <a:extLst>
            <a:ext uri="{FF2B5EF4-FFF2-40B4-BE49-F238E27FC236}">
              <a16:creationId xmlns:a16="http://schemas.microsoft.com/office/drawing/2014/main" id="{320E5A3D-FD75-4076-A988-CA13CE87D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56" name="Picture 1" descr="ALMASHRI_0">
          <a:extLst>
            <a:ext uri="{FF2B5EF4-FFF2-40B4-BE49-F238E27FC236}">
              <a16:creationId xmlns:a16="http://schemas.microsoft.com/office/drawing/2014/main" id="{BE84ADDC-9143-432A-A20B-A02A1E297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57" name="Picture 1" descr="ALMASHRI_0">
          <a:extLst>
            <a:ext uri="{FF2B5EF4-FFF2-40B4-BE49-F238E27FC236}">
              <a16:creationId xmlns:a16="http://schemas.microsoft.com/office/drawing/2014/main" id="{F806C6AD-56BD-41CD-8FB0-D91E84983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58" name="Picture 1" descr="ALMASHRI_0">
          <a:extLst>
            <a:ext uri="{FF2B5EF4-FFF2-40B4-BE49-F238E27FC236}">
              <a16:creationId xmlns:a16="http://schemas.microsoft.com/office/drawing/2014/main" id="{ACCD01BC-6DE7-464D-BF84-10A92A2D8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59" name="Picture 1" descr="ALMASHRI_0">
          <a:extLst>
            <a:ext uri="{FF2B5EF4-FFF2-40B4-BE49-F238E27FC236}">
              <a16:creationId xmlns:a16="http://schemas.microsoft.com/office/drawing/2014/main" id="{1C0D3C46-E91C-485D-B426-BCAA571A6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0" name="Picture 1" descr="ALMASHRI_0">
          <a:extLst>
            <a:ext uri="{FF2B5EF4-FFF2-40B4-BE49-F238E27FC236}">
              <a16:creationId xmlns:a16="http://schemas.microsoft.com/office/drawing/2014/main" id="{27469C48-44E4-4DA2-9BE7-0C6792DCD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1" name="Picture 1" descr="ALMASHRI_0">
          <a:extLst>
            <a:ext uri="{FF2B5EF4-FFF2-40B4-BE49-F238E27FC236}">
              <a16:creationId xmlns:a16="http://schemas.microsoft.com/office/drawing/2014/main" id="{C69A8D72-6C1F-4EEF-9CBD-70DF35C25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2" name="Picture 1" descr="ALMASHRI_0">
          <a:extLst>
            <a:ext uri="{FF2B5EF4-FFF2-40B4-BE49-F238E27FC236}">
              <a16:creationId xmlns:a16="http://schemas.microsoft.com/office/drawing/2014/main" id="{DEE1C84D-DD7C-4BC7-BACF-1DFAD56FF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3" name="Picture 1" descr="ALMASHRI_0">
          <a:extLst>
            <a:ext uri="{FF2B5EF4-FFF2-40B4-BE49-F238E27FC236}">
              <a16:creationId xmlns:a16="http://schemas.microsoft.com/office/drawing/2014/main" id="{A94DFD62-6E93-4468-B35D-0AF42B650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4" name="Picture 1" descr="ALMASHRI_0">
          <a:extLst>
            <a:ext uri="{FF2B5EF4-FFF2-40B4-BE49-F238E27FC236}">
              <a16:creationId xmlns:a16="http://schemas.microsoft.com/office/drawing/2014/main" id="{10A4210C-2418-4131-A7DE-4F7FABE88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5" name="Picture 1" descr="ALMASHRI_0">
          <a:extLst>
            <a:ext uri="{FF2B5EF4-FFF2-40B4-BE49-F238E27FC236}">
              <a16:creationId xmlns:a16="http://schemas.microsoft.com/office/drawing/2014/main" id="{5E6EBB40-7244-421B-816D-E5227BDBD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6" name="Picture 1" descr="ALMASHRI_0">
          <a:extLst>
            <a:ext uri="{FF2B5EF4-FFF2-40B4-BE49-F238E27FC236}">
              <a16:creationId xmlns:a16="http://schemas.microsoft.com/office/drawing/2014/main" id="{F44C4F74-3EC4-4FC7-8023-40EADD42F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7" name="Picture 1" descr="ALMASHRI_0">
          <a:extLst>
            <a:ext uri="{FF2B5EF4-FFF2-40B4-BE49-F238E27FC236}">
              <a16:creationId xmlns:a16="http://schemas.microsoft.com/office/drawing/2014/main" id="{D18F6A25-3E12-4792-8CE7-8146E14ED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8" name="Picture 1" descr="ALMASHRI_0">
          <a:extLst>
            <a:ext uri="{FF2B5EF4-FFF2-40B4-BE49-F238E27FC236}">
              <a16:creationId xmlns:a16="http://schemas.microsoft.com/office/drawing/2014/main" id="{F4D8CCCE-6B3E-4585-A8C0-8E54A4A20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69" name="Picture 1" descr="ALMASHRI_0">
          <a:extLst>
            <a:ext uri="{FF2B5EF4-FFF2-40B4-BE49-F238E27FC236}">
              <a16:creationId xmlns:a16="http://schemas.microsoft.com/office/drawing/2014/main" id="{AA33FF72-647D-46AD-AAC3-54DC1FE97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70" name="Picture 1" descr="ALMASHRI_0">
          <a:extLst>
            <a:ext uri="{FF2B5EF4-FFF2-40B4-BE49-F238E27FC236}">
              <a16:creationId xmlns:a16="http://schemas.microsoft.com/office/drawing/2014/main" id="{C11222FC-8F28-4F02-9E09-90057B262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071" name="Picture 1" descr="ALMASHRI_0">
          <a:extLst>
            <a:ext uri="{FF2B5EF4-FFF2-40B4-BE49-F238E27FC236}">
              <a16:creationId xmlns:a16="http://schemas.microsoft.com/office/drawing/2014/main" id="{98F21A2E-DDFC-4F2C-90A6-589F9F46D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72" name="Picture 1" descr="ALMASHRI_0">
          <a:extLst>
            <a:ext uri="{FF2B5EF4-FFF2-40B4-BE49-F238E27FC236}">
              <a16:creationId xmlns:a16="http://schemas.microsoft.com/office/drawing/2014/main" id="{4DC078D5-8ADF-454E-A63E-7932FC40D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73" name="Picture 1" descr="ALMASHRI_0">
          <a:extLst>
            <a:ext uri="{FF2B5EF4-FFF2-40B4-BE49-F238E27FC236}">
              <a16:creationId xmlns:a16="http://schemas.microsoft.com/office/drawing/2014/main" id="{4779BFE8-90E1-4615-A841-874943E3D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74" name="Picture 1" descr="ALMASHRI_0">
          <a:extLst>
            <a:ext uri="{FF2B5EF4-FFF2-40B4-BE49-F238E27FC236}">
              <a16:creationId xmlns:a16="http://schemas.microsoft.com/office/drawing/2014/main" id="{1B7F76F0-CEF6-45DE-9793-1364C7B86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75" name="Picture 1" descr="ALMASHRI_0">
          <a:extLst>
            <a:ext uri="{FF2B5EF4-FFF2-40B4-BE49-F238E27FC236}">
              <a16:creationId xmlns:a16="http://schemas.microsoft.com/office/drawing/2014/main" id="{ED90924C-EEDB-46E9-B0A4-7AFFE479C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76" name="Picture 1" descr="ALMASHRI_0">
          <a:extLst>
            <a:ext uri="{FF2B5EF4-FFF2-40B4-BE49-F238E27FC236}">
              <a16:creationId xmlns:a16="http://schemas.microsoft.com/office/drawing/2014/main" id="{140216AA-6EA3-46A5-9827-457A83FE1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77" name="Picture 1" descr="ALMASHRI_0">
          <a:extLst>
            <a:ext uri="{FF2B5EF4-FFF2-40B4-BE49-F238E27FC236}">
              <a16:creationId xmlns:a16="http://schemas.microsoft.com/office/drawing/2014/main" id="{A55B9803-9080-4573-B69C-7F6D95FAA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78" name="Picture 1" descr="ALMASHRI_0">
          <a:extLst>
            <a:ext uri="{FF2B5EF4-FFF2-40B4-BE49-F238E27FC236}">
              <a16:creationId xmlns:a16="http://schemas.microsoft.com/office/drawing/2014/main" id="{07C96605-435E-4742-A7C5-0E371B1F9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79" name="Picture 1" descr="ALMASHRI_0">
          <a:extLst>
            <a:ext uri="{FF2B5EF4-FFF2-40B4-BE49-F238E27FC236}">
              <a16:creationId xmlns:a16="http://schemas.microsoft.com/office/drawing/2014/main" id="{26E26BCE-B814-4D96-BD6E-69922A682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80" name="Picture 1" descr="ALMASHRI_0">
          <a:extLst>
            <a:ext uri="{FF2B5EF4-FFF2-40B4-BE49-F238E27FC236}">
              <a16:creationId xmlns:a16="http://schemas.microsoft.com/office/drawing/2014/main" id="{C6B16AA7-0FEF-4389-BFB2-23EAC7C07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81" name="Picture 1" descr="ALMASHRI_0">
          <a:extLst>
            <a:ext uri="{FF2B5EF4-FFF2-40B4-BE49-F238E27FC236}">
              <a16:creationId xmlns:a16="http://schemas.microsoft.com/office/drawing/2014/main" id="{8D246E81-12DA-487A-9D00-C3DF525A3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82" name="Picture 1" descr="ALMASHRI_0">
          <a:extLst>
            <a:ext uri="{FF2B5EF4-FFF2-40B4-BE49-F238E27FC236}">
              <a16:creationId xmlns:a16="http://schemas.microsoft.com/office/drawing/2014/main" id="{9D1FFD64-E283-4674-A0E0-3AA3E456D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83" name="Picture 1" descr="ALMASHRI_0">
          <a:extLst>
            <a:ext uri="{FF2B5EF4-FFF2-40B4-BE49-F238E27FC236}">
              <a16:creationId xmlns:a16="http://schemas.microsoft.com/office/drawing/2014/main" id="{B0FC9AB5-F330-4F06-AB0C-E1CD3CCA8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84" name="Picture 1" descr="ALMASHRI_0">
          <a:extLst>
            <a:ext uri="{FF2B5EF4-FFF2-40B4-BE49-F238E27FC236}">
              <a16:creationId xmlns:a16="http://schemas.microsoft.com/office/drawing/2014/main" id="{D9D87C24-8A6C-4FB1-94DB-D0989BB86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85" name="Picture 1" descr="ALMASHRI_0">
          <a:extLst>
            <a:ext uri="{FF2B5EF4-FFF2-40B4-BE49-F238E27FC236}">
              <a16:creationId xmlns:a16="http://schemas.microsoft.com/office/drawing/2014/main" id="{275C0245-2127-4396-A5C6-551CCA058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86" name="Picture 1" descr="ALMASHRI_0">
          <a:extLst>
            <a:ext uri="{FF2B5EF4-FFF2-40B4-BE49-F238E27FC236}">
              <a16:creationId xmlns:a16="http://schemas.microsoft.com/office/drawing/2014/main" id="{068A2934-FA1E-4F9F-ADB8-E245A5D3B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087" name="Picture 1" descr="ALMASHRI_0">
          <a:extLst>
            <a:ext uri="{FF2B5EF4-FFF2-40B4-BE49-F238E27FC236}">
              <a16:creationId xmlns:a16="http://schemas.microsoft.com/office/drawing/2014/main" id="{E82C1BD6-EB7C-432C-9447-70BB53C7D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88" name="Picture 1" descr="ALMASHRI_0">
          <a:extLst>
            <a:ext uri="{FF2B5EF4-FFF2-40B4-BE49-F238E27FC236}">
              <a16:creationId xmlns:a16="http://schemas.microsoft.com/office/drawing/2014/main" id="{F42E2F61-ECBF-48D0-A1E0-80365BA96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89" name="Picture 1" descr="ALMASHRI_0">
          <a:extLst>
            <a:ext uri="{FF2B5EF4-FFF2-40B4-BE49-F238E27FC236}">
              <a16:creationId xmlns:a16="http://schemas.microsoft.com/office/drawing/2014/main" id="{07CA1E50-B830-40AE-9120-5FB0A8402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0" name="Picture 1" descr="ALMASHRI_0">
          <a:extLst>
            <a:ext uri="{FF2B5EF4-FFF2-40B4-BE49-F238E27FC236}">
              <a16:creationId xmlns:a16="http://schemas.microsoft.com/office/drawing/2014/main" id="{CDF32DEC-D27E-4D81-B579-3DB24EFFF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1" name="Picture 1" descr="ALMASHRI_0">
          <a:extLst>
            <a:ext uri="{FF2B5EF4-FFF2-40B4-BE49-F238E27FC236}">
              <a16:creationId xmlns:a16="http://schemas.microsoft.com/office/drawing/2014/main" id="{51FAB44B-BF9C-4F2A-AD3B-6AC9068B5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2" name="Picture 1" descr="ALMASHRI_0">
          <a:extLst>
            <a:ext uri="{FF2B5EF4-FFF2-40B4-BE49-F238E27FC236}">
              <a16:creationId xmlns:a16="http://schemas.microsoft.com/office/drawing/2014/main" id="{7BF2AB12-DB8F-40C3-9F9C-A1603C654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3" name="Picture 1" descr="ALMASHRI_0">
          <a:extLst>
            <a:ext uri="{FF2B5EF4-FFF2-40B4-BE49-F238E27FC236}">
              <a16:creationId xmlns:a16="http://schemas.microsoft.com/office/drawing/2014/main" id="{B048A171-1D29-42B7-9117-4D6E71BEF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4" name="Picture 1" descr="ALMASHRI_0">
          <a:extLst>
            <a:ext uri="{FF2B5EF4-FFF2-40B4-BE49-F238E27FC236}">
              <a16:creationId xmlns:a16="http://schemas.microsoft.com/office/drawing/2014/main" id="{9788BEC6-56B0-4157-891F-7A149894F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5" name="Picture 1" descr="ALMASHRI_0">
          <a:extLst>
            <a:ext uri="{FF2B5EF4-FFF2-40B4-BE49-F238E27FC236}">
              <a16:creationId xmlns:a16="http://schemas.microsoft.com/office/drawing/2014/main" id="{4995D499-0941-4968-9BF0-E75270CB1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6" name="Picture 1" descr="ALMASHRI_0">
          <a:extLst>
            <a:ext uri="{FF2B5EF4-FFF2-40B4-BE49-F238E27FC236}">
              <a16:creationId xmlns:a16="http://schemas.microsoft.com/office/drawing/2014/main" id="{F9088D93-35C3-4435-9FDC-404F2FBB8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7" name="Picture 1" descr="ALMASHRI_0">
          <a:extLst>
            <a:ext uri="{FF2B5EF4-FFF2-40B4-BE49-F238E27FC236}">
              <a16:creationId xmlns:a16="http://schemas.microsoft.com/office/drawing/2014/main" id="{973F8F1D-C14F-438E-B82F-2509BB022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8" name="Picture 1" descr="ALMASHRI_0">
          <a:extLst>
            <a:ext uri="{FF2B5EF4-FFF2-40B4-BE49-F238E27FC236}">
              <a16:creationId xmlns:a16="http://schemas.microsoft.com/office/drawing/2014/main" id="{F2CDA69B-A1B8-4E44-9BC8-D7EB841EE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099" name="Picture 1" descr="ALMASHRI_0">
          <a:extLst>
            <a:ext uri="{FF2B5EF4-FFF2-40B4-BE49-F238E27FC236}">
              <a16:creationId xmlns:a16="http://schemas.microsoft.com/office/drawing/2014/main" id="{BD5E4C8F-1889-4A1E-A227-0AB061310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100" name="Picture 1" descr="ALMASHRI_0">
          <a:extLst>
            <a:ext uri="{FF2B5EF4-FFF2-40B4-BE49-F238E27FC236}">
              <a16:creationId xmlns:a16="http://schemas.microsoft.com/office/drawing/2014/main" id="{B9C567C3-D30F-4309-8636-81151994A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101" name="Picture 1" descr="ALMASHRI_0">
          <a:extLst>
            <a:ext uri="{FF2B5EF4-FFF2-40B4-BE49-F238E27FC236}">
              <a16:creationId xmlns:a16="http://schemas.microsoft.com/office/drawing/2014/main" id="{89F7175A-BD94-4603-A6A9-B58B08AC7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102" name="Picture 1" descr="ALMASHRI_0">
          <a:extLst>
            <a:ext uri="{FF2B5EF4-FFF2-40B4-BE49-F238E27FC236}">
              <a16:creationId xmlns:a16="http://schemas.microsoft.com/office/drawing/2014/main" id="{9341588F-D236-4F2B-83BD-B5AE7D95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103" name="Picture 1" descr="ALMASHRI_0">
          <a:extLst>
            <a:ext uri="{FF2B5EF4-FFF2-40B4-BE49-F238E27FC236}">
              <a16:creationId xmlns:a16="http://schemas.microsoft.com/office/drawing/2014/main" id="{4302DE9B-6FCC-413E-8010-07200BF99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04" name="Picture 1" descr="ALMASHRI_0">
          <a:extLst>
            <a:ext uri="{FF2B5EF4-FFF2-40B4-BE49-F238E27FC236}">
              <a16:creationId xmlns:a16="http://schemas.microsoft.com/office/drawing/2014/main" id="{144EB5AF-101F-4F85-BC04-33F21BBE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05" name="Picture 1" descr="ALMASHRI_0">
          <a:extLst>
            <a:ext uri="{FF2B5EF4-FFF2-40B4-BE49-F238E27FC236}">
              <a16:creationId xmlns:a16="http://schemas.microsoft.com/office/drawing/2014/main" id="{8E3A1A7A-8B98-4E78-9507-A8D8B8C0F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06" name="Picture 1" descr="ALMASHRI_0">
          <a:extLst>
            <a:ext uri="{FF2B5EF4-FFF2-40B4-BE49-F238E27FC236}">
              <a16:creationId xmlns:a16="http://schemas.microsoft.com/office/drawing/2014/main" id="{C7803DF8-9E31-457C-8D67-581DA93A8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07" name="Picture 1" descr="ALMASHRI_0">
          <a:extLst>
            <a:ext uri="{FF2B5EF4-FFF2-40B4-BE49-F238E27FC236}">
              <a16:creationId xmlns:a16="http://schemas.microsoft.com/office/drawing/2014/main" id="{F37410A0-0C5B-442A-BA9C-C0AC41C4E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08" name="Picture 1" descr="ALMASHRI_0">
          <a:extLst>
            <a:ext uri="{FF2B5EF4-FFF2-40B4-BE49-F238E27FC236}">
              <a16:creationId xmlns:a16="http://schemas.microsoft.com/office/drawing/2014/main" id="{0FC4E3B6-0778-4AA8-B808-D08B9CBC9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09" name="Picture 1" descr="ALMASHRI_0">
          <a:extLst>
            <a:ext uri="{FF2B5EF4-FFF2-40B4-BE49-F238E27FC236}">
              <a16:creationId xmlns:a16="http://schemas.microsoft.com/office/drawing/2014/main" id="{FF09C23F-3810-48FD-9477-A55BD77C5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0" name="Picture 1" descr="ALMASHRI_0">
          <a:extLst>
            <a:ext uri="{FF2B5EF4-FFF2-40B4-BE49-F238E27FC236}">
              <a16:creationId xmlns:a16="http://schemas.microsoft.com/office/drawing/2014/main" id="{CFAE8A28-B3EA-4D3F-92B1-0F5103AB5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1" name="Picture 1" descr="ALMASHRI_0">
          <a:extLst>
            <a:ext uri="{FF2B5EF4-FFF2-40B4-BE49-F238E27FC236}">
              <a16:creationId xmlns:a16="http://schemas.microsoft.com/office/drawing/2014/main" id="{B109A929-AD00-424D-BDDD-51D738C2B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2" name="Picture 1" descr="ALMASHRI_0">
          <a:extLst>
            <a:ext uri="{FF2B5EF4-FFF2-40B4-BE49-F238E27FC236}">
              <a16:creationId xmlns:a16="http://schemas.microsoft.com/office/drawing/2014/main" id="{40DEC152-FD85-4298-83AE-7C41F42CF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3" name="Picture 1" descr="ALMASHRI_0">
          <a:extLst>
            <a:ext uri="{FF2B5EF4-FFF2-40B4-BE49-F238E27FC236}">
              <a16:creationId xmlns:a16="http://schemas.microsoft.com/office/drawing/2014/main" id="{DB46F91C-2D70-4845-9C65-E0EF60D81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4" name="Picture 1" descr="ALMASHRI_0">
          <a:extLst>
            <a:ext uri="{FF2B5EF4-FFF2-40B4-BE49-F238E27FC236}">
              <a16:creationId xmlns:a16="http://schemas.microsoft.com/office/drawing/2014/main" id="{7B46C9B0-5444-49C2-A6FA-F7E3C8155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5" name="Picture 1" descr="ALMASHRI_0">
          <a:extLst>
            <a:ext uri="{FF2B5EF4-FFF2-40B4-BE49-F238E27FC236}">
              <a16:creationId xmlns:a16="http://schemas.microsoft.com/office/drawing/2014/main" id="{81555D20-14CC-409A-B53B-EF8B881B4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6" name="Picture 1" descr="ALMASHRI_0">
          <a:extLst>
            <a:ext uri="{FF2B5EF4-FFF2-40B4-BE49-F238E27FC236}">
              <a16:creationId xmlns:a16="http://schemas.microsoft.com/office/drawing/2014/main" id="{151322B6-DAD7-4453-AC27-FFE244173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7" name="Picture 1" descr="ALMASHRI_0">
          <a:extLst>
            <a:ext uri="{FF2B5EF4-FFF2-40B4-BE49-F238E27FC236}">
              <a16:creationId xmlns:a16="http://schemas.microsoft.com/office/drawing/2014/main" id="{EB5CF926-957A-47B6-877B-B22CE95F5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8" name="Picture 1" descr="ALMASHRI_0">
          <a:extLst>
            <a:ext uri="{FF2B5EF4-FFF2-40B4-BE49-F238E27FC236}">
              <a16:creationId xmlns:a16="http://schemas.microsoft.com/office/drawing/2014/main" id="{27239B03-8063-4DD5-AB1C-C95D1927B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119" name="Picture 1" descr="ALMASHRI_0">
          <a:extLst>
            <a:ext uri="{FF2B5EF4-FFF2-40B4-BE49-F238E27FC236}">
              <a16:creationId xmlns:a16="http://schemas.microsoft.com/office/drawing/2014/main" id="{3265DB11-6F4F-4C82-92E8-024A43885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0" name="Picture 1" descr="ALMASHRI_0">
          <a:extLst>
            <a:ext uri="{FF2B5EF4-FFF2-40B4-BE49-F238E27FC236}">
              <a16:creationId xmlns:a16="http://schemas.microsoft.com/office/drawing/2014/main" id="{A8468D06-805B-4777-8BA2-433A21AD3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1" name="Picture 1" descr="ALMASHRI_0">
          <a:extLst>
            <a:ext uri="{FF2B5EF4-FFF2-40B4-BE49-F238E27FC236}">
              <a16:creationId xmlns:a16="http://schemas.microsoft.com/office/drawing/2014/main" id="{D614FECA-77B1-428E-9BB1-B932CD821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2" name="Picture 1" descr="ALMASHRI_0">
          <a:extLst>
            <a:ext uri="{FF2B5EF4-FFF2-40B4-BE49-F238E27FC236}">
              <a16:creationId xmlns:a16="http://schemas.microsoft.com/office/drawing/2014/main" id="{0DF901D8-3DE4-4774-A3EC-C9BD1560B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3" name="Picture 1" descr="ALMASHRI_0">
          <a:extLst>
            <a:ext uri="{FF2B5EF4-FFF2-40B4-BE49-F238E27FC236}">
              <a16:creationId xmlns:a16="http://schemas.microsoft.com/office/drawing/2014/main" id="{1D765BC2-3CB9-471B-95D0-7E04D01C7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4" name="Picture 1" descr="ALMASHRI_0">
          <a:extLst>
            <a:ext uri="{FF2B5EF4-FFF2-40B4-BE49-F238E27FC236}">
              <a16:creationId xmlns:a16="http://schemas.microsoft.com/office/drawing/2014/main" id="{978258B3-BBCD-46D4-A3BB-C210B6818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5" name="Picture 1" descr="ALMASHRI_0">
          <a:extLst>
            <a:ext uri="{FF2B5EF4-FFF2-40B4-BE49-F238E27FC236}">
              <a16:creationId xmlns:a16="http://schemas.microsoft.com/office/drawing/2014/main" id="{A6A39A52-7C03-466D-98C3-B951CB3A0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6" name="Picture 1" descr="ALMASHRI_0">
          <a:extLst>
            <a:ext uri="{FF2B5EF4-FFF2-40B4-BE49-F238E27FC236}">
              <a16:creationId xmlns:a16="http://schemas.microsoft.com/office/drawing/2014/main" id="{5EF1DCEC-9C59-46CB-9023-B79A834EB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7" name="Picture 1" descr="ALMASHRI_0">
          <a:extLst>
            <a:ext uri="{FF2B5EF4-FFF2-40B4-BE49-F238E27FC236}">
              <a16:creationId xmlns:a16="http://schemas.microsoft.com/office/drawing/2014/main" id="{F3D7952B-EDD4-4A47-BE01-2CF731E94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8" name="Picture 1" descr="ALMASHRI_0">
          <a:extLst>
            <a:ext uri="{FF2B5EF4-FFF2-40B4-BE49-F238E27FC236}">
              <a16:creationId xmlns:a16="http://schemas.microsoft.com/office/drawing/2014/main" id="{61CE96A4-18A3-4655-AA8F-19EC11729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29" name="Picture 1" descr="ALMASHRI_0">
          <a:extLst>
            <a:ext uri="{FF2B5EF4-FFF2-40B4-BE49-F238E27FC236}">
              <a16:creationId xmlns:a16="http://schemas.microsoft.com/office/drawing/2014/main" id="{DABB38FF-64FE-4350-ADF6-987878E23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30" name="Picture 1" descr="ALMASHRI_0">
          <a:extLst>
            <a:ext uri="{FF2B5EF4-FFF2-40B4-BE49-F238E27FC236}">
              <a16:creationId xmlns:a16="http://schemas.microsoft.com/office/drawing/2014/main" id="{F0C56653-3C03-421C-BF10-BAF93140E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31" name="Picture 1" descr="ALMASHRI_0">
          <a:extLst>
            <a:ext uri="{FF2B5EF4-FFF2-40B4-BE49-F238E27FC236}">
              <a16:creationId xmlns:a16="http://schemas.microsoft.com/office/drawing/2014/main" id="{1271987C-A299-48DC-8332-866016FA8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32" name="Picture 1" descr="ALMASHRI_0">
          <a:extLst>
            <a:ext uri="{FF2B5EF4-FFF2-40B4-BE49-F238E27FC236}">
              <a16:creationId xmlns:a16="http://schemas.microsoft.com/office/drawing/2014/main" id="{61297233-6C9F-4479-8534-951FFA1AE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33" name="Picture 1" descr="ALMASHRI_0">
          <a:extLst>
            <a:ext uri="{FF2B5EF4-FFF2-40B4-BE49-F238E27FC236}">
              <a16:creationId xmlns:a16="http://schemas.microsoft.com/office/drawing/2014/main" id="{7FE2E275-4311-4021-BA63-CF3206F30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34" name="Picture 1" descr="ALMASHRI_0">
          <a:extLst>
            <a:ext uri="{FF2B5EF4-FFF2-40B4-BE49-F238E27FC236}">
              <a16:creationId xmlns:a16="http://schemas.microsoft.com/office/drawing/2014/main" id="{E614514F-6D5B-43DB-A82A-078FB41E5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35" name="Picture 1" descr="ALMASHRI_0">
          <a:extLst>
            <a:ext uri="{FF2B5EF4-FFF2-40B4-BE49-F238E27FC236}">
              <a16:creationId xmlns:a16="http://schemas.microsoft.com/office/drawing/2014/main" id="{E08C1FB7-EDCF-400E-B7B8-91201434C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36" name="Picture 1" descr="ALMASHRI_0">
          <a:extLst>
            <a:ext uri="{FF2B5EF4-FFF2-40B4-BE49-F238E27FC236}">
              <a16:creationId xmlns:a16="http://schemas.microsoft.com/office/drawing/2014/main" id="{BC9A9F03-51DB-446F-96AD-4D72F9A5CE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37" name="Picture 1" descr="ALMASHRI_0">
          <a:extLst>
            <a:ext uri="{FF2B5EF4-FFF2-40B4-BE49-F238E27FC236}">
              <a16:creationId xmlns:a16="http://schemas.microsoft.com/office/drawing/2014/main" id="{93CE0C2C-E3E4-4598-AC9C-A4D8B7728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38" name="Picture 1" descr="ALMASHRI_0">
          <a:extLst>
            <a:ext uri="{FF2B5EF4-FFF2-40B4-BE49-F238E27FC236}">
              <a16:creationId xmlns:a16="http://schemas.microsoft.com/office/drawing/2014/main" id="{2456126F-9959-4635-B9B6-EC6BBCAA2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39" name="Picture 1" descr="ALMASHRI_0">
          <a:extLst>
            <a:ext uri="{FF2B5EF4-FFF2-40B4-BE49-F238E27FC236}">
              <a16:creationId xmlns:a16="http://schemas.microsoft.com/office/drawing/2014/main" id="{83F2D060-E65A-4B98-BB0F-466A20CC9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0" name="Picture 1" descr="ALMASHRI_0">
          <a:extLst>
            <a:ext uri="{FF2B5EF4-FFF2-40B4-BE49-F238E27FC236}">
              <a16:creationId xmlns:a16="http://schemas.microsoft.com/office/drawing/2014/main" id="{92DC6A5B-7984-4F05-8602-6C60C5BFC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1" name="Picture 1" descr="ALMASHRI_0">
          <a:extLst>
            <a:ext uri="{FF2B5EF4-FFF2-40B4-BE49-F238E27FC236}">
              <a16:creationId xmlns:a16="http://schemas.microsoft.com/office/drawing/2014/main" id="{BFB4F8B0-717F-436F-83DD-632ADB107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2" name="Picture 1" descr="ALMASHRI_0">
          <a:extLst>
            <a:ext uri="{FF2B5EF4-FFF2-40B4-BE49-F238E27FC236}">
              <a16:creationId xmlns:a16="http://schemas.microsoft.com/office/drawing/2014/main" id="{C4B956F4-8915-49A9-843B-F2FB2E988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3" name="Picture 1" descr="ALMASHRI_0">
          <a:extLst>
            <a:ext uri="{FF2B5EF4-FFF2-40B4-BE49-F238E27FC236}">
              <a16:creationId xmlns:a16="http://schemas.microsoft.com/office/drawing/2014/main" id="{0E23D0A6-D4F0-4ABD-905F-E8F83DD41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4" name="Picture 1" descr="ALMASHRI_0">
          <a:extLst>
            <a:ext uri="{FF2B5EF4-FFF2-40B4-BE49-F238E27FC236}">
              <a16:creationId xmlns:a16="http://schemas.microsoft.com/office/drawing/2014/main" id="{0089A270-D143-47CC-AE9B-3F01041E5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5" name="Picture 1" descr="ALMASHRI_0">
          <a:extLst>
            <a:ext uri="{FF2B5EF4-FFF2-40B4-BE49-F238E27FC236}">
              <a16:creationId xmlns:a16="http://schemas.microsoft.com/office/drawing/2014/main" id="{0D7D08C7-F53E-4A21-84ED-9DC204A9D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6" name="Picture 1" descr="ALMASHRI_0">
          <a:extLst>
            <a:ext uri="{FF2B5EF4-FFF2-40B4-BE49-F238E27FC236}">
              <a16:creationId xmlns:a16="http://schemas.microsoft.com/office/drawing/2014/main" id="{9C937FC8-EE3D-4388-B8DF-7285AF45F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7" name="Picture 1" descr="ALMASHRI_0">
          <a:extLst>
            <a:ext uri="{FF2B5EF4-FFF2-40B4-BE49-F238E27FC236}">
              <a16:creationId xmlns:a16="http://schemas.microsoft.com/office/drawing/2014/main" id="{F8DB9E18-DFAB-4660-8C30-B6BADE936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8" name="Picture 1" descr="ALMASHRI_0">
          <a:extLst>
            <a:ext uri="{FF2B5EF4-FFF2-40B4-BE49-F238E27FC236}">
              <a16:creationId xmlns:a16="http://schemas.microsoft.com/office/drawing/2014/main" id="{FE38B1E3-73CC-4096-B93F-4789F0294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49" name="Picture 1" descr="ALMASHRI_0">
          <a:extLst>
            <a:ext uri="{FF2B5EF4-FFF2-40B4-BE49-F238E27FC236}">
              <a16:creationId xmlns:a16="http://schemas.microsoft.com/office/drawing/2014/main" id="{52FE08FA-A72F-4569-ABF3-5D7633191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50" name="Picture 1" descr="ALMASHRI_0">
          <a:extLst>
            <a:ext uri="{FF2B5EF4-FFF2-40B4-BE49-F238E27FC236}">
              <a16:creationId xmlns:a16="http://schemas.microsoft.com/office/drawing/2014/main" id="{68975331-6AB7-4CC2-B960-F389DB74E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151" name="Picture 1" descr="ALMASHRI_0">
          <a:extLst>
            <a:ext uri="{FF2B5EF4-FFF2-40B4-BE49-F238E27FC236}">
              <a16:creationId xmlns:a16="http://schemas.microsoft.com/office/drawing/2014/main" id="{51E24CD7-6968-43E3-97CB-556350B6A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52" name="Picture 1" descr="ALMASHRI_0">
          <a:extLst>
            <a:ext uri="{FF2B5EF4-FFF2-40B4-BE49-F238E27FC236}">
              <a16:creationId xmlns:a16="http://schemas.microsoft.com/office/drawing/2014/main" id="{E95E9AB7-1A63-4819-9529-ED6ECEB20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53" name="Picture 1" descr="ALMASHRI_0">
          <a:extLst>
            <a:ext uri="{FF2B5EF4-FFF2-40B4-BE49-F238E27FC236}">
              <a16:creationId xmlns:a16="http://schemas.microsoft.com/office/drawing/2014/main" id="{A00EED08-2DFB-45EE-A7DA-2D6E34B62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54" name="Picture 1" descr="ALMASHRI_0">
          <a:extLst>
            <a:ext uri="{FF2B5EF4-FFF2-40B4-BE49-F238E27FC236}">
              <a16:creationId xmlns:a16="http://schemas.microsoft.com/office/drawing/2014/main" id="{FA45240D-FA9E-4F58-BB96-A16B2BD26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55" name="Picture 1" descr="ALMASHRI_0">
          <a:extLst>
            <a:ext uri="{FF2B5EF4-FFF2-40B4-BE49-F238E27FC236}">
              <a16:creationId xmlns:a16="http://schemas.microsoft.com/office/drawing/2014/main" id="{4874799A-7C55-455E-86C7-1290D47DD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56" name="Picture 1" descr="ALMASHRI_0">
          <a:extLst>
            <a:ext uri="{FF2B5EF4-FFF2-40B4-BE49-F238E27FC236}">
              <a16:creationId xmlns:a16="http://schemas.microsoft.com/office/drawing/2014/main" id="{AB8DD518-8466-4B58-93A7-8AA449A60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57" name="Picture 1" descr="ALMASHRI_0">
          <a:extLst>
            <a:ext uri="{FF2B5EF4-FFF2-40B4-BE49-F238E27FC236}">
              <a16:creationId xmlns:a16="http://schemas.microsoft.com/office/drawing/2014/main" id="{80D79E6E-9CE3-4730-8B56-E2C66509D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58" name="Picture 1" descr="ALMASHRI_0">
          <a:extLst>
            <a:ext uri="{FF2B5EF4-FFF2-40B4-BE49-F238E27FC236}">
              <a16:creationId xmlns:a16="http://schemas.microsoft.com/office/drawing/2014/main" id="{75ACB90C-EFEB-4F7F-9EE0-3A8F92A67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59" name="Picture 1" descr="ALMASHRI_0">
          <a:extLst>
            <a:ext uri="{FF2B5EF4-FFF2-40B4-BE49-F238E27FC236}">
              <a16:creationId xmlns:a16="http://schemas.microsoft.com/office/drawing/2014/main" id="{A65EE59A-89E1-4285-B6B0-360D7881F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60" name="Picture 1" descr="ALMASHRI_0">
          <a:extLst>
            <a:ext uri="{FF2B5EF4-FFF2-40B4-BE49-F238E27FC236}">
              <a16:creationId xmlns:a16="http://schemas.microsoft.com/office/drawing/2014/main" id="{551AF64E-5342-4DAD-8F54-B1D388356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61" name="Picture 1" descr="ALMASHRI_0">
          <a:extLst>
            <a:ext uri="{FF2B5EF4-FFF2-40B4-BE49-F238E27FC236}">
              <a16:creationId xmlns:a16="http://schemas.microsoft.com/office/drawing/2014/main" id="{6CE45FBB-8131-48B3-8F5A-7C979EAB4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62" name="Picture 1" descr="ALMASHRI_0">
          <a:extLst>
            <a:ext uri="{FF2B5EF4-FFF2-40B4-BE49-F238E27FC236}">
              <a16:creationId xmlns:a16="http://schemas.microsoft.com/office/drawing/2014/main" id="{1FE1A2FD-EF2B-4F04-9972-EC542FEBE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63" name="Picture 1" descr="ALMASHRI_0">
          <a:extLst>
            <a:ext uri="{FF2B5EF4-FFF2-40B4-BE49-F238E27FC236}">
              <a16:creationId xmlns:a16="http://schemas.microsoft.com/office/drawing/2014/main" id="{91F0DE34-FBD5-44E3-B681-3F03A09D0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64" name="Picture 1" descr="ALMASHRI_0">
          <a:extLst>
            <a:ext uri="{FF2B5EF4-FFF2-40B4-BE49-F238E27FC236}">
              <a16:creationId xmlns:a16="http://schemas.microsoft.com/office/drawing/2014/main" id="{366FC735-DDB0-402C-8ABC-45D1EAD16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65" name="Picture 1" descr="ALMASHRI_0">
          <a:extLst>
            <a:ext uri="{FF2B5EF4-FFF2-40B4-BE49-F238E27FC236}">
              <a16:creationId xmlns:a16="http://schemas.microsoft.com/office/drawing/2014/main" id="{168278A5-E7C3-4CE3-9932-0FCED73A2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66" name="Picture 1" descr="ALMASHRI_0">
          <a:extLst>
            <a:ext uri="{FF2B5EF4-FFF2-40B4-BE49-F238E27FC236}">
              <a16:creationId xmlns:a16="http://schemas.microsoft.com/office/drawing/2014/main" id="{B872BEFA-7ED8-4154-8DF0-08A9474FC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167" name="Picture 1" descr="ALMASHRI_0">
          <a:extLst>
            <a:ext uri="{FF2B5EF4-FFF2-40B4-BE49-F238E27FC236}">
              <a16:creationId xmlns:a16="http://schemas.microsoft.com/office/drawing/2014/main" id="{FF43D2BB-F3A1-4602-80E9-B8B94519E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68" name="Picture 1" descr="ALMASHRI_0">
          <a:extLst>
            <a:ext uri="{FF2B5EF4-FFF2-40B4-BE49-F238E27FC236}">
              <a16:creationId xmlns:a16="http://schemas.microsoft.com/office/drawing/2014/main" id="{C78FBA2E-4DFB-4405-ABFD-48F531BA9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69" name="Picture 1" descr="ALMASHRI_0">
          <a:extLst>
            <a:ext uri="{FF2B5EF4-FFF2-40B4-BE49-F238E27FC236}">
              <a16:creationId xmlns:a16="http://schemas.microsoft.com/office/drawing/2014/main" id="{283DB6FB-FE73-4E42-9D2B-A58058D2A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0" name="Picture 1" descr="ALMASHRI_0">
          <a:extLst>
            <a:ext uri="{FF2B5EF4-FFF2-40B4-BE49-F238E27FC236}">
              <a16:creationId xmlns:a16="http://schemas.microsoft.com/office/drawing/2014/main" id="{817CC44E-8766-452B-BB7D-D14F57856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1" name="Picture 1" descr="ALMASHRI_0">
          <a:extLst>
            <a:ext uri="{FF2B5EF4-FFF2-40B4-BE49-F238E27FC236}">
              <a16:creationId xmlns:a16="http://schemas.microsoft.com/office/drawing/2014/main" id="{CA1C411B-FA6F-4CCF-B5AB-8A55C2733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2" name="Picture 1" descr="ALMASHRI_0">
          <a:extLst>
            <a:ext uri="{FF2B5EF4-FFF2-40B4-BE49-F238E27FC236}">
              <a16:creationId xmlns:a16="http://schemas.microsoft.com/office/drawing/2014/main" id="{3B7F197D-5832-4EB4-BF6F-639DD3708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3" name="Picture 1" descr="ALMASHRI_0">
          <a:extLst>
            <a:ext uri="{FF2B5EF4-FFF2-40B4-BE49-F238E27FC236}">
              <a16:creationId xmlns:a16="http://schemas.microsoft.com/office/drawing/2014/main" id="{E2272594-5A5A-4E6D-8027-10A902E73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4" name="Picture 1" descr="ALMASHRI_0">
          <a:extLst>
            <a:ext uri="{FF2B5EF4-FFF2-40B4-BE49-F238E27FC236}">
              <a16:creationId xmlns:a16="http://schemas.microsoft.com/office/drawing/2014/main" id="{66C31298-90D1-4495-9826-3CFDFBCF2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5" name="Picture 1" descr="ALMASHRI_0">
          <a:extLst>
            <a:ext uri="{FF2B5EF4-FFF2-40B4-BE49-F238E27FC236}">
              <a16:creationId xmlns:a16="http://schemas.microsoft.com/office/drawing/2014/main" id="{1BD3662A-8644-47C4-A684-5F8F7AF7B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6" name="Picture 1" descr="ALMASHRI_0">
          <a:extLst>
            <a:ext uri="{FF2B5EF4-FFF2-40B4-BE49-F238E27FC236}">
              <a16:creationId xmlns:a16="http://schemas.microsoft.com/office/drawing/2014/main" id="{5533EAE0-A238-4145-A778-4BEDFBCBA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7" name="Picture 1" descr="ALMASHRI_0">
          <a:extLst>
            <a:ext uri="{FF2B5EF4-FFF2-40B4-BE49-F238E27FC236}">
              <a16:creationId xmlns:a16="http://schemas.microsoft.com/office/drawing/2014/main" id="{80D36E29-F17D-497F-B7A9-770BB4D9A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8" name="Picture 1" descr="ALMASHRI_0">
          <a:extLst>
            <a:ext uri="{FF2B5EF4-FFF2-40B4-BE49-F238E27FC236}">
              <a16:creationId xmlns:a16="http://schemas.microsoft.com/office/drawing/2014/main" id="{368A66D8-9578-4D49-9356-407BB45E8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79" name="Picture 1" descr="ALMASHRI_0">
          <a:extLst>
            <a:ext uri="{FF2B5EF4-FFF2-40B4-BE49-F238E27FC236}">
              <a16:creationId xmlns:a16="http://schemas.microsoft.com/office/drawing/2014/main" id="{E49722B7-7789-4612-8E03-547F7886A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80" name="Picture 1" descr="ALMASHRI_0">
          <a:extLst>
            <a:ext uri="{FF2B5EF4-FFF2-40B4-BE49-F238E27FC236}">
              <a16:creationId xmlns:a16="http://schemas.microsoft.com/office/drawing/2014/main" id="{F38571D3-BE35-4F1C-B7DB-5FB910908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81" name="Picture 1" descr="ALMASHRI_0">
          <a:extLst>
            <a:ext uri="{FF2B5EF4-FFF2-40B4-BE49-F238E27FC236}">
              <a16:creationId xmlns:a16="http://schemas.microsoft.com/office/drawing/2014/main" id="{D2D0F9D5-620A-4EA6-B025-6110DB5C2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82" name="Picture 1" descr="ALMASHRI_0">
          <a:extLst>
            <a:ext uri="{FF2B5EF4-FFF2-40B4-BE49-F238E27FC236}">
              <a16:creationId xmlns:a16="http://schemas.microsoft.com/office/drawing/2014/main" id="{AB89CAAA-7569-44C0-921A-BDCB49F17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183" name="Picture 1" descr="ALMASHRI_0">
          <a:extLst>
            <a:ext uri="{FF2B5EF4-FFF2-40B4-BE49-F238E27FC236}">
              <a16:creationId xmlns:a16="http://schemas.microsoft.com/office/drawing/2014/main" id="{C4BF2229-549C-4960-9B2E-65E1A70D9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84" name="Picture 1" descr="ALMASHRI_0">
          <a:extLst>
            <a:ext uri="{FF2B5EF4-FFF2-40B4-BE49-F238E27FC236}">
              <a16:creationId xmlns:a16="http://schemas.microsoft.com/office/drawing/2014/main" id="{C46BD1E7-9194-4F36-815B-59B9D02C2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85" name="Picture 1" descr="ALMASHRI_0">
          <a:extLst>
            <a:ext uri="{FF2B5EF4-FFF2-40B4-BE49-F238E27FC236}">
              <a16:creationId xmlns:a16="http://schemas.microsoft.com/office/drawing/2014/main" id="{DC1373E6-717F-4BF2-B386-3F65A528D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86" name="Picture 1" descr="ALMASHRI_0">
          <a:extLst>
            <a:ext uri="{FF2B5EF4-FFF2-40B4-BE49-F238E27FC236}">
              <a16:creationId xmlns:a16="http://schemas.microsoft.com/office/drawing/2014/main" id="{CE987C45-36CE-434B-A022-9AED65F96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87" name="Picture 1" descr="ALMASHRI_0">
          <a:extLst>
            <a:ext uri="{FF2B5EF4-FFF2-40B4-BE49-F238E27FC236}">
              <a16:creationId xmlns:a16="http://schemas.microsoft.com/office/drawing/2014/main" id="{EDF59748-6E65-42E5-9D61-B0B66A4DD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88" name="Picture 1" descr="ALMASHRI_0">
          <a:extLst>
            <a:ext uri="{FF2B5EF4-FFF2-40B4-BE49-F238E27FC236}">
              <a16:creationId xmlns:a16="http://schemas.microsoft.com/office/drawing/2014/main" id="{D04F8D60-A994-4BAE-B784-231D91FD0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89" name="Picture 1" descr="ALMASHRI_0">
          <a:extLst>
            <a:ext uri="{FF2B5EF4-FFF2-40B4-BE49-F238E27FC236}">
              <a16:creationId xmlns:a16="http://schemas.microsoft.com/office/drawing/2014/main" id="{4A4D9973-263C-4B91-9924-243D9C768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0" name="Picture 1" descr="ALMASHRI_0">
          <a:extLst>
            <a:ext uri="{FF2B5EF4-FFF2-40B4-BE49-F238E27FC236}">
              <a16:creationId xmlns:a16="http://schemas.microsoft.com/office/drawing/2014/main" id="{09EA33F1-190A-415E-B12E-A9E05C187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1" name="Picture 1" descr="ALMASHRI_0">
          <a:extLst>
            <a:ext uri="{FF2B5EF4-FFF2-40B4-BE49-F238E27FC236}">
              <a16:creationId xmlns:a16="http://schemas.microsoft.com/office/drawing/2014/main" id="{5F82A3C1-49E0-402A-AA18-4818B9072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2" name="Picture 1" descr="ALMASHRI_0">
          <a:extLst>
            <a:ext uri="{FF2B5EF4-FFF2-40B4-BE49-F238E27FC236}">
              <a16:creationId xmlns:a16="http://schemas.microsoft.com/office/drawing/2014/main" id="{3090C040-3F51-44F4-9623-B5B9D000DE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3" name="Picture 1" descr="ALMASHRI_0">
          <a:extLst>
            <a:ext uri="{FF2B5EF4-FFF2-40B4-BE49-F238E27FC236}">
              <a16:creationId xmlns:a16="http://schemas.microsoft.com/office/drawing/2014/main" id="{3D7FD009-3C07-41E3-8B19-642DDEBFC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4" name="Picture 1" descr="ALMASHRI_0">
          <a:extLst>
            <a:ext uri="{FF2B5EF4-FFF2-40B4-BE49-F238E27FC236}">
              <a16:creationId xmlns:a16="http://schemas.microsoft.com/office/drawing/2014/main" id="{10AFD89D-0F68-4CB2-92A5-46C7E3BF7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5" name="Picture 1" descr="ALMASHRI_0">
          <a:extLst>
            <a:ext uri="{FF2B5EF4-FFF2-40B4-BE49-F238E27FC236}">
              <a16:creationId xmlns:a16="http://schemas.microsoft.com/office/drawing/2014/main" id="{76EE0F02-1BD2-403B-B91C-0B58B5930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6" name="Picture 1" descr="ALMASHRI_0">
          <a:extLst>
            <a:ext uri="{FF2B5EF4-FFF2-40B4-BE49-F238E27FC236}">
              <a16:creationId xmlns:a16="http://schemas.microsoft.com/office/drawing/2014/main" id="{50D39C28-5972-4A51-9BCD-295B6614A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7" name="Picture 1" descr="ALMASHRI_0">
          <a:extLst>
            <a:ext uri="{FF2B5EF4-FFF2-40B4-BE49-F238E27FC236}">
              <a16:creationId xmlns:a16="http://schemas.microsoft.com/office/drawing/2014/main" id="{803A0ABF-DF04-4946-A3B6-5C939A859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8" name="Picture 1" descr="ALMASHRI_0">
          <a:extLst>
            <a:ext uri="{FF2B5EF4-FFF2-40B4-BE49-F238E27FC236}">
              <a16:creationId xmlns:a16="http://schemas.microsoft.com/office/drawing/2014/main" id="{87863960-B33B-4BD1-9598-FAB0951D1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199" name="Picture 1" descr="ALMASHRI_0">
          <a:extLst>
            <a:ext uri="{FF2B5EF4-FFF2-40B4-BE49-F238E27FC236}">
              <a16:creationId xmlns:a16="http://schemas.microsoft.com/office/drawing/2014/main" id="{DF0E4E9A-4B24-460C-B1BE-6981E8D67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0" name="Picture 1" descr="ALMASHRI_0">
          <a:extLst>
            <a:ext uri="{FF2B5EF4-FFF2-40B4-BE49-F238E27FC236}">
              <a16:creationId xmlns:a16="http://schemas.microsoft.com/office/drawing/2014/main" id="{5DDE2514-7BB3-4C95-A8CC-958774818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1" name="Picture 1" descr="ALMASHRI_0">
          <a:extLst>
            <a:ext uri="{FF2B5EF4-FFF2-40B4-BE49-F238E27FC236}">
              <a16:creationId xmlns:a16="http://schemas.microsoft.com/office/drawing/2014/main" id="{1F6E1E74-0A1F-4143-928E-5DE0F6DAF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2" name="Picture 1" descr="ALMASHRI_0">
          <a:extLst>
            <a:ext uri="{FF2B5EF4-FFF2-40B4-BE49-F238E27FC236}">
              <a16:creationId xmlns:a16="http://schemas.microsoft.com/office/drawing/2014/main" id="{1C5B4E17-AF44-4B20-A3A7-AE61EB25C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3" name="Picture 1" descr="ALMASHRI_0">
          <a:extLst>
            <a:ext uri="{FF2B5EF4-FFF2-40B4-BE49-F238E27FC236}">
              <a16:creationId xmlns:a16="http://schemas.microsoft.com/office/drawing/2014/main" id="{7506FECD-8EEE-4C4C-BFE8-C1E90C68BB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4" name="Picture 1" descr="ALMASHRI_0">
          <a:extLst>
            <a:ext uri="{FF2B5EF4-FFF2-40B4-BE49-F238E27FC236}">
              <a16:creationId xmlns:a16="http://schemas.microsoft.com/office/drawing/2014/main" id="{F38131D6-4460-4DF3-B198-46DB11135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5" name="Picture 1" descr="ALMASHRI_0">
          <a:extLst>
            <a:ext uri="{FF2B5EF4-FFF2-40B4-BE49-F238E27FC236}">
              <a16:creationId xmlns:a16="http://schemas.microsoft.com/office/drawing/2014/main" id="{9F6A3D7D-2D73-48E0-A5BC-1AE74F095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6" name="Picture 1" descr="ALMASHRI_0">
          <a:extLst>
            <a:ext uri="{FF2B5EF4-FFF2-40B4-BE49-F238E27FC236}">
              <a16:creationId xmlns:a16="http://schemas.microsoft.com/office/drawing/2014/main" id="{04CC4CC0-01E3-4CB7-87F2-B25A8C849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7" name="Picture 1" descr="ALMASHRI_0">
          <a:extLst>
            <a:ext uri="{FF2B5EF4-FFF2-40B4-BE49-F238E27FC236}">
              <a16:creationId xmlns:a16="http://schemas.microsoft.com/office/drawing/2014/main" id="{2A51FFD2-5EC3-41A2-BC9F-CD5050838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8" name="Picture 1" descr="ALMASHRI_0">
          <a:extLst>
            <a:ext uri="{FF2B5EF4-FFF2-40B4-BE49-F238E27FC236}">
              <a16:creationId xmlns:a16="http://schemas.microsoft.com/office/drawing/2014/main" id="{083C1B71-EC8A-4E61-A02E-E8D2C33C0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09" name="Picture 1" descr="ALMASHRI_0">
          <a:extLst>
            <a:ext uri="{FF2B5EF4-FFF2-40B4-BE49-F238E27FC236}">
              <a16:creationId xmlns:a16="http://schemas.microsoft.com/office/drawing/2014/main" id="{62AB6817-35EE-471C-8DE7-31C1077903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10" name="Picture 1" descr="ALMASHRI_0">
          <a:extLst>
            <a:ext uri="{FF2B5EF4-FFF2-40B4-BE49-F238E27FC236}">
              <a16:creationId xmlns:a16="http://schemas.microsoft.com/office/drawing/2014/main" id="{3CFDDB55-D30E-43E5-AD05-BD4BD25DA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11" name="Picture 1" descr="ALMASHRI_0">
          <a:extLst>
            <a:ext uri="{FF2B5EF4-FFF2-40B4-BE49-F238E27FC236}">
              <a16:creationId xmlns:a16="http://schemas.microsoft.com/office/drawing/2014/main" id="{26587CD2-7303-4852-927B-99E5A97E8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12" name="Picture 1" descr="ALMASHRI_0">
          <a:extLst>
            <a:ext uri="{FF2B5EF4-FFF2-40B4-BE49-F238E27FC236}">
              <a16:creationId xmlns:a16="http://schemas.microsoft.com/office/drawing/2014/main" id="{4D721E66-A11F-4877-AC7C-D626276D1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13" name="Picture 1" descr="ALMASHRI_0">
          <a:extLst>
            <a:ext uri="{FF2B5EF4-FFF2-40B4-BE49-F238E27FC236}">
              <a16:creationId xmlns:a16="http://schemas.microsoft.com/office/drawing/2014/main" id="{C10ADE19-A507-4E38-95A2-ADC155C98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14" name="Picture 1" descr="ALMASHRI_0">
          <a:extLst>
            <a:ext uri="{FF2B5EF4-FFF2-40B4-BE49-F238E27FC236}">
              <a16:creationId xmlns:a16="http://schemas.microsoft.com/office/drawing/2014/main" id="{77485B39-4105-4C9C-A398-55A88427F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15" name="Picture 1" descr="ALMASHRI_0">
          <a:extLst>
            <a:ext uri="{FF2B5EF4-FFF2-40B4-BE49-F238E27FC236}">
              <a16:creationId xmlns:a16="http://schemas.microsoft.com/office/drawing/2014/main" id="{474FBD71-8C3E-4C15-A8C3-4B6BC92E3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16" name="Picture 1" descr="ALMASHRI_0">
          <a:extLst>
            <a:ext uri="{FF2B5EF4-FFF2-40B4-BE49-F238E27FC236}">
              <a16:creationId xmlns:a16="http://schemas.microsoft.com/office/drawing/2014/main" id="{8E4CEE58-36D0-4D3C-9E69-389842D0C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17" name="Picture 1" descr="ALMASHRI_0">
          <a:extLst>
            <a:ext uri="{FF2B5EF4-FFF2-40B4-BE49-F238E27FC236}">
              <a16:creationId xmlns:a16="http://schemas.microsoft.com/office/drawing/2014/main" id="{3D0E1431-DB25-42C3-B780-BA50E13F0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18" name="Picture 1" descr="ALMASHRI_0">
          <a:extLst>
            <a:ext uri="{FF2B5EF4-FFF2-40B4-BE49-F238E27FC236}">
              <a16:creationId xmlns:a16="http://schemas.microsoft.com/office/drawing/2014/main" id="{86D6F348-9D87-4218-A45B-9C2373C84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19" name="Picture 1" descr="ALMASHRI_0">
          <a:extLst>
            <a:ext uri="{FF2B5EF4-FFF2-40B4-BE49-F238E27FC236}">
              <a16:creationId xmlns:a16="http://schemas.microsoft.com/office/drawing/2014/main" id="{A6D1FC1B-4BEE-4798-B05B-B5AACEFA8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0" name="Picture 1" descr="ALMASHRI_0">
          <a:extLst>
            <a:ext uri="{FF2B5EF4-FFF2-40B4-BE49-F238E27FC236}">
              <a16:creationId xmlns:a16="http://schemas.microsoft.com/office/drawing/2014/main" id="{4E94B662-4246-4E27-803B-3F65B64E0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1" name="Picture 1" descr="ALMASHRI_0">
          <a:extLst>
            <a:ext uri="{FF2B5EF4-FFF2-40B4-BE49-F238E27FC236}">
              <a16:creationId xmlns:a16="http://schemas.microsoft.com/office/drawing/2014/main" id="{08703F94-1500-4C38-B7B3-36C718518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2" name="Picture 1" descr="ALMASHRI_0">
          <a:extLst>
            <a:ext uri="{FF2B5EF4-FFF2-40B4-BE49-F238E27FC236}">
              <a16:creationId xmlns:a16="http://schemas.microsoft.com/office/drawing/2014/main" id="{0BF55BA7-DF96-4E86-AB74-D0E411204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3" name="Picture 1" descr="ALMASHRI_0">
          <a:extLst>
            <a:ext uri="{FF2B5EF4-FFF2-40B4-BE49-F238E27FC236}">
              <a16:creationId xmlns:a16="http://schemas.microsoft.com/office/drawing/2014/main" id="{F663C9B5-6562-4009-A34B-170D06C58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4" name="Picture 1" descr="ALMASHRI_0">
          <a:extLst>
            <a:ext uri="{FF2B5EF4-FFF2-40B4-BE49-F238E27FC236}">
              <a16:creationId xmlns:a16="http://schemas.microsoft.com/office/drawing/2014/main" id="{C9A0AA86-9569-4830-A47D-4C9A7F6D2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5" name="Picture 1" descr="ALMASHRI_0">
          <a:extLst>
            <a:ext uri="{FF2B5EF4-FFF2-40B4-BE49-F238E27FC236}">
              <a16:creationId xmlns:a16="http://schemas.microsoft.com/office/drawing/2014/main" id="{9931A26A-F0C5-45EB-BA60-5263BD1E5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6" name="Picture 1" descr="ALMASHRI_0">
          <a:extLst>
            <a:ext uri="{FF2B5EF4-FFF2-40B4-BE49-F238E27FC236}">
              <a16:creationId xmlns:a16="http://schemas.microsoft.com/office/drawing/2014/main" id="{072392C9-E24B-48A7-81ED-239C6A6E9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7" name="Picture 1" descr="ALMASHRI_0">
          <a:extLst>
            <a:ext uri="{FF2B5EF4-FFF2-40B4-BE49-F238E27FC236}">
              <a16:creationId xmlns:a16="http://schemas.microsoft.com/office/drawing/2014/main" id="{B9F6D576-B83C-47A9-9616-9F08CACFC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8" name="Picture 1" descr="ALMASHRI_0">
          <a:extLst>
            <a:ext uri="{FF2B5EF4-FFF2-40B4-BE49-F238E27FC236}">
              <a16:creationId xmlns:a16="http://schemas.microsoft.com/office/drawing/2014/main" id="{6352B3B3-875F-490D-8AF3-DD4ED5B83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29" name="Picture 1" descr="ALMASHRI_0">
          <a:extLst>
            <a:ext uri="{FF2B5EF4-FFF2-40B4-BE49-F238E27FC236}">
              <a16:creationId xmlns:a16="http://schemas.microsoft.com/office/drawing/2014/main" id="{95C8DF29-FA61-4D9A-898B-43BCE90BB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30" name="Picture 1" descr="ALMASHRI_0">
          <a:extLst>
            <a:ext uri="{FF2B5EF4-FFF2-40B4-BE49-F238E27FC236}">
              <a16:creationId xmlns:a16="http://schemas.microsoft.com/office/drawing/2014/main" id="{BDD06922-A69F-4E1D-9803-991BA62F7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231" name="Picture 1" descr="ALMASHRI_0">
          <a:extLst>
            <a:ext uri="{FF2B5EF4-FFF2-40B4-BE49-F238E27FC236}">
              <a16:creationId xmlns:a16="http://schemas.microsoft.com/office/drawing/2014/main" id="{4A05BC22-0A5D-4F5D-B2B7-E1134EC27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32" name="Picture 1" descr="ALMASHRI_0">
          <a:extLst>
            <a:ext uri="{FF2B5EF4-FFF2-40B4-BE49-F238E27FC236}">
              <a16:creationId xmlns:a16="http://schemas.microsoft.com/office/drawing/2014/main" id="{0611855A-6704-4079-A15F-752118C50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33" name="Picture 1" descr="ALMASHRI_0">
          <a:extLst>
            <a:ext uri="{FF2B5EF4-FFF2-40B4-BE49-F238E27FC236}">
              <a16:creationId xmlns:a16="http://schemas.microsoft.com/office/drawing/2014/main" id="{54FA8BC9-FD05-40A7-BB2A-015D762EF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34" name="Picture 1" descr="ALMASHRI_0">
          <a:extLst>
            <a:ext uri="{FF2B5EF4-FFF2-40B4-BE49-F238E27FC236}">
              <a16:creationId xmlns:a16="http://schemas.microsoft.com/office/drawing/2014/main" id="{628DE8F3-0488-429B-B192-EB0C92715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35" name="Picture 1" descr="ALMASHRI_0">
          <a:extLst>
            <a:ext uri="{FF2B5EF4-FFF2-40B4-BE49-F238E27FC236}">
              <a16:creationId xmlns:a16="http://schemas.microsoft.com/office/drawing/2014/main" id="{BA8A712E-6DCD-405C-845A-578E7061C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36" name="Picture 1" descr="ALMASHRI_0">
          <a:extLst>
            <a:ext uri="{FF2B5EF4-FFF2-40B4-BE49-F238E27FC236}">
              <a16:creationId xmlns:a16="http://schemas.microsoft.com/office/drawing/2014/main" id="{CC3E21D3-BB67-47EE-80A7-E8828F07B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37" name="Picture 1" descr="ALMASHRI_0">
          <a:extLst>
            <a:ext uri="{FF2B5EF4-FFF2-40B4-BE49-F238E27FC236}">
              <a16:creationId xmlns:a16="http://schemas.microsoft.com/office/drawing/2014/main" id="{D9314CAF-F6F2-4069-9FC9-A2F034365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38" name="Picture 1" descr="ALMASHRI_0">
          <a:extLst>
            <a:ext uri="{FF2B5EF4-FFF2-40B4-BE49-F238E27FC236}">
              <a16:creationId xmlns:a16="http://schemas.microsoft.com/office/drawing/2014/main" id="{5F4DA6E4-8BFF-412E-98BE-63493089E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39" name="Picture 1" descr="ALMASHRI_0">
          <a:extLst>
            <a:ext uri="{FF2B5EF4-FFF2-40B4-BE49-F238E27FC236}">
              <a16:creationId xmlns:a16="http://schemas.microsoft.com/office/drawing/2014/main" id="{4DD08394-55A7-410F-B9B6-3A948E43D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40" name="Picture 1" descr="ALMASHRI_0">
          <a:extLst>
            <a:ext uri="{FF2B5EF4-FFF2-40B4-BE49-F238E27FC236}">
              <a16:creationId xmlns:a16="http://schemas.microsoft.com/office/drawing/2014/main" id="{0FA41CD3-BD57-4568-BE02-991778D99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41" name="Picture 1" descr="ALMASHRI_0">
          <a:extLst>
            <a:ext uri="{FF2B5EF4-FFF2-40B4-BE49-F238E27FC236}">
              <a16:creationId xmlns:a16="http://schemas.microsoft.com/office/drawing/2014/main" id="{50960FB7-B75D-41A6-99B9-18CD53E11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42" name="Picture 1" descr="ALMASHRI_0">
          <a:extLst>
            <a:ext uri="{FF2B5EF4-FFF2-40B4-BE49-F238E27FC236}">
              <a16:creationId xmlns:a16="http://schemas.microsoft.com/office/drawing/2014/main" id="{1A8EED75-DB86-42AD-9200-C50F2DF16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43" name="Picture 1" descr="ALMASHRI_0">
          <a:extLst>
            <a:ext uri="{FF2B5EF4-FFF2-40B4-BE49-F238E27FC236}">
              <a16:creationId xmlns:a16="http://schemas.microsoft.com/office/drawing/2014/main" id="{CAAF6F62-F69F-4C10-B427-3B0F7BC12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44" name="Picture 1" descr="ALMASHRI_0">
          <a:extLst>
            <a:ext uri="{FF2B5EF4-FFF2-40B4-BE49-F238E27FC236}">
              <a16:creationId xmlns:a16="http://schemas.microsoft.com/office/drawing/2014/main" id="{88D1215B-C9A3-46A9-B925-896636B57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45" name="Picture 1" descr="ALMASHRI_0">
          <a:extLst>
            <a:ext uri="{FF2B5EF4-FFF2-40B4-BE49-F238E27FC236}">
              <a16:creationId xmlns:a16="http://schemas.microsoft.com/office/drawing/2014/main" id="{3B286675-415A-4BCF-98FB-E541AD128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46" name="Picture 1" descr="ALMASHRI_0">
          <a:extLst>
            <a:ext uri="{FF2B5EF4-FFF2-40B4-BE49-F238E27FC236}">
              <a16:creationId xmlns:a16="http://schemas.microsoft.com/office/drawing/2014/main" id="{8CB78CF0-548C-4F32-B520-27934074D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247" name="Picture 1" descr="ALMASHRI_0">
          <a:extLst>
            <a:ext uri="{FF2B5EF4-FFF2-40B4-BE49-F238E27FC236}">
              <a16:creationId xmlns:a16="http://schemas.microsoft.com/office/drawing/2014/main" id="{CA5FF247-69A0-4905-9D98-BB291F7C1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48" name="Picture 1" descr="ALMASHRI_0">
          <a:extLst>
            <a:ext uri="{FF2B5EF4-FFF2-40B4-BE49-F238E27FC236}">
              <a16:creationId xmlns:a16="http://schemas.microsoft.com/office/drawing/2014/main" id="{D485A0C9-7ACF-40BF-8DC8-DFF5CBBEE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49" name="Picture 1" descr="ALMASHRI_0">
          <a:extLst>
            <a:ext uri="{FF2B5EF4-FFF2-40B4-BE49-F238E27FC236}">
              <a16:creationId xmlns:a16="http://schemas.microsoft.com/office/drawing/2014/main" id="{5002DAE4-29CF-4C8F-92B2-F859302BD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0" name="Picture 1" descr="ALMASHRI_0">
          <a:extLst>
            <a:ext uri="{FF2B5EF4-FFF2-40B4-BE49-F238E27FC236}">
              <a16:creationId xmlns:a16="http://schemas.microsoft.com/office/drawing/2014/main" id="{3C48FB98-157D-4079-BDC9-708FAD861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1" name="Picture 1" descr="ALMASHRI_0">
          <a:extLst>
            <a:ext uri="{FF2B5EF4-FFF2-40B4-BE49-F238E27FC236}">
              <a16:creationId xmlns:a16="http://schemas.microsoft.com/office/drawing/2014/main" id="{15947D8D-440B-42C0-BE5F-35F0F5D2C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2" name="Picture 1" descr="ALMASHRI_0">
          <a:extLst>
            <a:ext uri="{FF2B5EF4-FFF2-40B4-BE49-F238E27FC236}">
              <a16:creationId xmlns:a16="http://schemas.microsoft.com/office/drawing/2014/main" id="{9DE7870B-C5CA-4A2A-9B79-B776AEE04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3" name="Picture 1" descr="ALMASHRI_0">
          <a:extLst>
            <a:ext uri="{FF2B5EF4-FFF2-40B4-BE49-F238E27FC236}">
              <a16:creationId xmlns:a16="http://schemas.microsoft.com/office/drawing/2014/main" id="{F578F3D1-9E27-471A-A7FA-E2FBFB56E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4" name="Picture 1" descr="ALMASHRI_0">
          <a:extLst>
            <a:ext uri="{FF2B5EF4-FFF2-40B4-BE49-F238E27FC236}">
              <a16:creationId xmlns:a16="http://schemas.microsoft.com/office/drawing/2014/main" id="{4A924B62-07E7-48A0-9234-81548C521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5" name="Picture 1" descr="ALMASHRI_0">
          <a:extLst>
            <a:ext uri="{FF2B5EF4-FFF2-40B4-BE49-F238E27FC236}">
              <a16:creationId xmlns:a16="http://schemas.microsoft.com/office/drawing/2014/main" id="{C4C24786-50D5-4A2E-9214-FB83E1C8C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6" name="Picture 1" descr="ALMASHRI_0">
          <a:extLst>
            <a:ext uri="{FF2B5EF4-FFF2-40B4-BE49-F238E27FC236}">
              <a16:creationId xmlns:a16="http://schemas.microsoft.com/office/drawing/2014/main" id="{2387A0D4-3B5D-4511-8135-8936E80E3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7" name="Picture 1" descr="ALMASHRI_0">
          <a:extLst>
            <a:ext uri="{FF2B5EF4-FFF2-40B4-BE49-F238E27FC236}">
              <a16:creationId xmlns:a16="http://schemas.microsoft.com/office/drawing/2014/main" id="{E199BD68-AF66-4641-8FD4-3F20B6749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8" name="Picture 1" descr="ALMASHRI_0">
          <a:extLst>
            <a:ext uri="{FF2B5EF4-FFF2-40B4-BE49-F238E27FC236}">
              <a16:creationId xmlns:a16="http://schemas.microsoft.com/office/drawing/2014/main" id="{528CB70C-88E1-4480-90BD-2C75A04DF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59" name="Picture 1" descr="ALMASHRI_0">
          <a:extLst>
            <a:ext uri="{FF2B5EF4-FFF2-40B4-BE49-F238E27FC236}">
              <a16:creationId xmlns:a16="http://schemas.microsoft.com/office/drawing/2014/main" id="{F96878B9-09E0-47A6-BE5B-85AB8BEFD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60" name="Picture 1" descr="ALMASHRI_0">
          <a:extLst>
            <a:ext uri="{FF2B5EF4-FFF2-40B4-BE49-F238E27FC236}">
              <a16:creationId xmlns:a16="http://schemas.microsoft.com/office/drawing/2014/main" id="{45824FE1-E362-4A2C-870C-00E531B18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61" name="Picture 1" descr="ALMASHRI_0">
          <a:extLst>
            <a:ext uri="{FF2B5EF4-FFF2-40B4-BE49-F238E27FC236}">
              <a16:creationId xmlns:a16="http://schemas.microsoft.com/office/drawing/2014/main" id="{89FD8F68-0213-41CF-9C4C-53CEBF475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62" name="Picture 1" descr="ALMASHRI_0">
          <a:extLst>
            <a:ext uri="{FF2B5EF4-FFF2-40B4-BE49-F238E27FC236}">
              <a16:creationId xmlns:a16="http://schemas.microsoft.com/office/drawing/2014/main" id="{C670A17E-8B6D-42FC-A60C-C9B5AF462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263" name="Picture 1" descr="ALMASHRI_0">
          <a:extLst>
            <a:ext uri="{FF2B5EF4-FFF2-40B4-BE49-F238E27FC236}">
              <a16:creationId xmlns:a16="http://schemas.microsoft.com/office/drawing/2014/main" id="{FAF88C4A-013B-40D1-A8C7-7759E6578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64" name="Picture 1" descr="ALMASHRI_0">
          <a:extLst>
            <a:ext uri="{FF2B5EF4-FFF2-40B4-BE49-F238E27FC236}">
              <a16:creationId xmlns:a16="http://schemas.microsoft.com/office/drawing/2014/main" id="{776C9BA1-02B2-489E-B481-FD733CEEC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65" name="Picture 1" descr="ALMASHRI_0">
          <a:extLst>
            <a:ext uri="{FF2B5EF4-FFF2-40B4-BE49-F238E27FC236}">
              <a16:creationId xmlns:a16="http://schemas.microsoft.com/office/drawing/2014/main" id="{0168A576-9FC4-4591-8057-999315678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66" name="Picture 1" descr="ALMASHRI_0">
          <a:extLst>
            <a:ext uri="{FF2B5EF4-FFF2-40B4-BE49-F238E27FC236}">
              <a16:creationId xmlns:a16="http://schemas.microsoft.com/office/drawing/2014/main" id="{C4EA5642-6E30-4CC1-B863-A7B2034F6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67" name="Picture 1" descr="ALMASHRI_0">
          <a:extLst>
            <a:ext uri="{FF2B5EF4-FFF2-40B4-BE49-F238E27FC236}">
              <a16:creationId xmlns:a16="http://schemas.microsoft.com/office/drawing/2014/main" id="{174B8123-33C7-48C9-874E-DDC62FCD4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68" name="Picture 1" descr="ALMASHRI_0">
          <a:extLst>
            <a:ext uri="{FF2B5EF4-FFF2-40B4-BE49-F238E27FC236}">
              <a16:creationId xmlns:a16="http://schemas.microsoft.com/office/drawing/2014/main" id="{0A6862E5-2249-4BEC-A120-11E58552C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69" name="Picture 1" descr="ALMASHRI_0">
          <a:extLst>
            <a:ext uri="{FF2B5EF4-FFF2-40B4-BE49-F238E27FC236}">
              <a16:creationId xmlns:a16="http://schemas.microsoft.com/office/drawing/2014/main" id="{32C25755-4A45-4A4A-A267-FD781F1D3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0" name="Picture 1" descr="ALMASHRI_0">
          <a:extLst>
            <a:ext uri="{FF2B5EF4-FFF2-40B4-BE49-F238E27FC236}">
              <a16:creationId xmlns:a16="http://schemas.microsoft.com/office/drawing/2014/main" id="{6357B982-DE8C-4948-8C3D-7ACFC0115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1" name="Picture 1" descr="ALMASHRI_0">
          <a:extLst>
            <a:ext uri="{FF2B5EF4-FFF2-40B4-BE49-F238E27FC236}">
              <a16:creationId xmlns:a16="http://schemas.microsoft.com/office/drawing/2014/main" id="{A2D6FE3E-3A8F-4A31-B4CD-AAEA75891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2" name="Picture 1" descr="ALMASHRI_0">
          <a:extLst>
            <a:ext uri="{FF2B5EF4-FFF2-40B4-BE49-F238E27FC236}">
              <a16:creationId xmlns:a16="http://schemas.microsoft.com/office/drawing/2014/main" id="{4A6564F5-B94F-4096-8291-1FE81B537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3" name="Picture 1" descr="ALMASHRI_0">
          <a:extLst>
            <a:ext uri="{FF2B5EF4-FFF2-40B4-BE49-F238E27FC236}">
              <a16:creationId xmlns:a16="http://schemas.microsoft.com/office/drawing/2014/main" id="{8D5A1E8B-8A31-4AAF-8B4E-BCDC413E6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4" name="Picture 1" descr="ALMASHRI_0">
          <a:extLst>
            <a:ext uri="{FF2B5EF4-FFF2-40B4-BE49-F238E27FC236}">
              <a16:creationId xmlns:a16="http://schemas.microsoft.com/office/drawing/2014/main" id="{ADDC3751-AA04-4CBF-8774-DE0C26AFF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5" name="Picture 1" descr="ALMASHRI_0">
          <a:extLst>
            <a:ext uri="{FF2B5EF4-FFF2-40B4-BE49-F238E27FC236}">
              <a16:creationId xmlns:a16="http://schemas.microsoft.com/office/drawing/2014/main" id="{30206960-4B7A-4C40-8066-F77542A63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6" name="Picture 1" descr="ALMASHRI_0">
          <a:extLst>
            <a:ext uri="{FF2B5EF4-FFF2-40B4-BE49-F238E27FC236}">
              <a16:creationId xmlns:a16="http://schemas.microsoft.com/office/drawing/2014/main" id="{94073F97-EC7A-4241-905C-D2BDD73B5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7" name="Picture 1" descr="ALMASHRI_0">
          <a:extLst>
            <a:ext uri="{FF2B5EF4-FFF2-40B4-BE49-F238E27FC236}">
              <a16:creationId xmlns:a16="http://schemas.microsoft.com/office/drawing/2014/main" id="{2B5501A1-A920-41E2-BF81-E43867118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8" name="Picture 1" descr="ALMASHRI_0">
          <a:extLst>
            <a:ext uri="{FF2B5EF4-FFF2-40B4-BE49-F238E27FC236}">
              <a16:creationId xmlns:a16="http://schemas.microsoft.com/office/drawing/2014/main" id="{C3C6C52C-08BC-420A-B75D-3ECECF072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279" name="Picture 1" descr="ALMASHRI_0">
          <a:extLst>
            <a:ext uri="{FF2B5EF4-FFF2-40B4-BE49-F238E27FC236}">
              <a16:creationId xmlns:a16="http://schemas.microsoft.com/office/drawing/2014/main" id="{EA3E3E4E-6162-449C-B3F3-E899CC84D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0" name="Picture 1279" descr="ALMASHRI_0">
          <a:extLst>
            <a:ext uri="{FF2B5EF4-FFF2-40B4-BE49-F238E27FC236}">
              <a16:creationId xmlns:a16="http://schemas.microsoft.com/office/drawing/2014/main" id="{7DE65964-E106-44A6-B53D-778634A21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1" name="Picture 1" descr="ALMASHRI_0">
          <a:extLst>
            <a:ext uri="{FF2B5EF4-FFF2-40B4-BE49-F238E27FC236}">
              <a16:creationId xmlns:a16="http://schemas.microsoft.com/office/drawing/2014/main" id="{B4EEDCD1-2F3C-4968-99DA-74A6C7353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2" name="Picture 1" descr="ALMASHRI_0">
          <a:extLst>
            <a:ext uri="{FF2B5EF4-FFF2-40B4-BE49-F238E27FC236}">
              <a16:creationId xmlns:a16="http://schemas.microsoft.com/office/drawing/2014/main" id="{5AC501E0-E52E-4CC5-92DF-4428E82DA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3" name="Picture 1" descr="ALMASHRI_0">
          <a:extLst>
            <a:ext uri="{FF2B5EF4-FFF2-40B4-BE49-F238E27FC236}">
              <a16:creationId xmlns:a16="http://schemas.microsoft.com/office/drawing/2014/main" id="{FD2362A4-3475-497E-BD47-87D68A1B1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4" name="Picture 1" descr="ALMASHRI_0">
          <a:extLst>
            <a:ext uri="{FF2B5EF4-FFF2-40B4-BE49-F238E27FC236}">
              <a16:creationId xmlns:a16="http://schemas.microsoft.com/office/drawing/2014/main" id="{7FACB994-5F90-4AF9-8DEA-F06EDF58B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5" name="Picture 1" descr="ALMASHRI_0">
          <a:extLst>
            <a:ext uri="{FF2B5EF4-FFF2-40B4-BE49-F238E27FC236}">
              <a16:creationId xmlns:a16="http://schemas.microsoft.com/office/drawing/2014/main" id="{25E684A3-2DF7-41C6-B385-A9ABAEBB8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6" name="Picture 1" descr="ALMASHRI_0">
          <a:extLst>
            <a:ext uri="{FF2B5EF4-FFF2-40B4-BE49-F238E27FC236}">
              <a16:creationId xmlns:a16="http://schemas.microsoft.com/office/drawing/2014/main" id="{E0D009AE-20C1-4604-B339-4704ABC05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7" name="Picture 1" descr="ALMASHRI_0">
          <a:extLst>
            <a:ext uri="{FF2B5EF4-FFF2-40B4-BE49-F238E27FC236}">
              <a16:creationId xmlns:a16="http://schemas.microsoft.com/office/drawing/2014/main" id="{E9EAA4D0-732F-4B55-9CCC-959BA52D9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8" name="Picture 1" descr="ALMASHRI_0">
          <a:extLst>
            <a:ext uri="{FF2B5EF4-FFF2-40B4-BE49-F238E27FC236}">
              <a16:creationId xmlns:a16="http://schemas.microsoft.com/office/drawing/2014/main" id="{6702113C-FBCC-4A61-AB15-49840011E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89" name="Picture 1" descr="ALMASHRI_0">
          <a:extLst>
            <a:ext uri="{FF2B5EF4-FFF2-40B4-BE49-F238E27FC236}">
              <a16:creationId xmlns:a16="http://schemas.microsoft.com/office/drawing/2014/main" id="{CEE5AAD0-98C6-4663-9F09-E5B97FA49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90" name="Picture 1" descr="ALMASHRI_0">
          <a:extLst>
            <a:ext uri="{FF2B5EF4-FFF2-40B4-BE49-F238E27FC236}">
              <a16:creationId xmlns:a16="http://schemas.microsoft.com/office/drawing/2014/main" id="{0D2A7ACA-C572-4B89-84D0-FB2F6FE08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91" name="Picture 1" descr="ALMASHRI_0">
          <a:extLst>
            <a:ext uri="{FF2B5EF4-FFF2-40B4-BE49-F238E27FC236}">
              <a16:creationId xmlns:a16="http://schemas.microsoft.com/office/drawing/2014/main" id="{B4A4CB95-50F6-4AD2-B397-961866C34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92" name="Picture 1" descr="ALMASHRI_0">
          <a:extLst>
            <a:ext uri="{FF2B5EF4-FFF2-40B4-BE49-F238E27FC236}">
              <a16:creationId xmlns:a16="http://schemas.microsoft.com/office/drawing/2014/main" id="{0B8A560A-1A6D-4C35-8503-F24762223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93" name="Picture 1" descr="ALMASHRI_0">
          <a:extLst>
            <a:ext uri="{FF2B5EF4-FFF2-40B4-BE49-F238E27FC236}">
              <a16:creationId xmlns:a16="http://schemas.microsoft.com/office/drawing/2014/main" id="{5A94F9E6-21DC-4C89-9B18-67D0F898D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94" name="Picture 1" descr="ALMASHRI_0">
          <a:extLst>
            <a:ext uri="{FF2B5EF4-FFF2-40B4-BE49-F238E27FC236}">
              <a16:creationId xmlns:a16="http://schemas.microsoft.com/office/drawing/2014/main" id="{84501529-379B-4B29-86F9-080778183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295" name="Picture 1" descr="ALMASHRI_0">
          <a:extLst>
            <a:ext uri="{FF2B5EF4-FFF2-40B4-BE49-F238E27FC236}">
              <a16:creationId xmlns:a16="http://schemas.microsoft.com/office/drawing/2014/main" id="{8454C065-F654-460F-A856-CE1194C3C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296" name="Picture 1" descr="ALMASHRI_0">
          <a:extLst>
            <a:ext uri="{FF2B5EF4-FFF2-40B4-BE49-F238E27FC236}">
              <a16:creationId xmlns:a16="http://schemas.microsoft.com/office/drawing/2014/main" id="{B64F142A-3E4D-435B-8B26-28740B17E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297" name="Picture 1" descr="ALMASHRI_0">
          <a:extLst>
            <a:ext uri="{FF2B5EF4-FFF2-40B4-BE49-F238E27FC236}">
              <a16:creationId xmlns:a16="http://schemas.microsoft.com/office/drawing/2014/main" id="{D2198D7D-49B3-4FE5-BBA9-F4B3D4A84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298" name="Picture 1" descr="ALMASHRI_0">
          <a:extLst>
            <a:ext uri="{FF2B5EF4-FFF2-40B4-BE49-F238E27FC236}">
              <a16:creationId xmlns:a16="http://schemas.microsoft.com/office/drawing/2014/main" id="{3466D243-ECBE-42C4-86CD-B430FA021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299" name="Picture 1" descr="ALMASHRI_0">
          <a:extLst>
            <a:ext uri="{FF2B5EF4-FFF2-40B4-BE49-F238E27FC236}">
              <a16:creationId xmlns:a16="http://schemas.microsoft.com/office/drawing/2014/main" id="{845868DD-C6A8-4066-B15C-C3335F5F8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0" name="Picture 1" descr="ALMASHRI_0">
          <a:extLst>
            <a:ext uri="{FF2B5EF4-FFF2-40B4-BE49-F238E27FC236}">
              <a16:creationId xmlns:a16="http://schemas.microsoft.com/office/drawing/2014/main" id="{D2AC17A1-9322-4794-A5BA-FA0FF40D8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1" name="Picture 1" descr="ALMASHRI_0">
          <a:extLst>
            <a:ext uri="{FF2B5EF4-FFF2-40B4-BE49-F238E27FC236}">
              <a16:creationId xmlns:a16="http://schemas.microsoft.com/office/drawing/2014/main" id="{EC3EFE40-652F-4AA4-A54D-094E682B6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2" name="Picture 1" descr="ALMASHRI_0">
          <a:extLst>
            <a:ext uri="{FF2B5EF4-FFF2-40B4-BE49-F238E27FC236}">
              <a16:creationId xmlns:a16="http://schemas.microsoft.com/office/drawing/2014/main" id="{A74A5976-C864-4564-84FE-F74FA48F0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3" name="Picture 1" descr="ALMASHRI_0">
          <a:extLst>
            <a:ext uri="{FF2B5EF4-FFF2-40B4-BE49-F238E27FC236}">
              <a16:creationId xmlns:a16="http://schemas.microsoft.com/office/drawing/2014/main" id="{136C6366-1220-44C5-A168-810A0D656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4" name="Picture 1" descr="ALMASHRI_0">
          <a:extLst>
            <a:ext uri="{FF2B5EF4-FFF2-40B4-BE49-F238E27FC236}">
              <a16:creationId xmlns:a16="http://schemas.microsoft.com/office/drawing/2014/main" id="{7DC9D4FD-F9CF-4A02-A826-509C0D95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5" name="Picture 1" descr="ALMASHRI_0">
          <a:extLst>
            <a:ext uri="{FF2B5EF4-FFF2-40B4-BE49-F238E27FC236}">
              <a16:creationId xmlns:a16="http://schemas.microsoft.com/office/drawing/2014/main" id="{3C8FD082-F0D0-4524-9E43-EAFC0FB3D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6" name="Picture 1" descr="ALMASHRI_0">
          <a:extLst>
            <a:ext uri="{FF2B5EF4-FFF2-40B4-BE49-F238E27FC236}">
              <a16:creationId xmlns:a16="http://schemas.microsoft.com/office/drawing/2014/main" id="{D2E3C572-86A8-49BB-86E8-36041CD64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7" name="Picture 1" descr="ALMASHRI_0">
          <a:extLst>
            <a:ext uri="{FF2B5EF4-FFF2-40B4-BE49-F238E27FC236}">
              <a16:creationId xmlns:a16="http://schemas.microsoft.com/office/drawing/2014/main" id="{5E65D4E4-286B-4BBE-86F3-906D8880D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8" name="Picture 1" descr="ALMASHRI_0">
          <a:extLst>
            <a:ext uri="{FF2B5EF4-FFF2-40B4-BE49-F238E27FC236}">
              <a16:creationId xmlns:a16="http://schemas.microsoft.com/office/drawing/2014/main" id="{BEAA3F05-9D21-4325-8ECA-1D93F1CED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09" name="Picture 1" descr="ALMASHRI_0">
          <a:extLst>
            <a:ext uri="{FF2B5EF4-FFF2-40B4-BE49-F238E27FC236}">
              <a16:creationId xmlns:a16="http://schemas.microsoft.com/office/drawing/2014/main" id="{2EBE45C3-735E-4A33-B167-B35550D31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10" name="Picture 1" descr="ALMASHRI_0">
          <a:extLst>
            <a:ext uri="{FF2B5EF4-FFF2-40B4-BE49-F238E27FC236}">
              <a16:creationId xmlns:a16="http://schemas.microsoft.com/office/drawing/2014/main" id="{E38CA78A-7B3E-4B46-9AAD-3BF95E161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311" name="Picture 1" descr="ALMASHRI_0">
          <a:extLst>
            <a:ext uri="{FF2B5EF4-FFF2-40B4-BE49-F238E27FC236}">
              <a16:creationId xmlns:a16="http://schemas.microsoft.com/office/drawing/2014/main" id="{0CE0169F-CA8D-4703-8E34-6D64B286A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12" name="Picture 1" descr="ALMASHRI_0">
          <a:extLst>
            <a:ext uri="{FF2B5EF4-FFF2-40B4-BE49-F238E27FC236}">
              <a16:creationId xmlns:a16="http://schemas.microsoft.com/office/drawing/2014/main" id="{CBBCB37B-A1EB-48CC-949B-D12CC6DF7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13" name="Picture 1" descr="ALMASHRI_0">
          <a:extLst>
            <a:ext uri="{FF2B5EF4-FFF2-40B4-BE49-F238E27FC236}">
              <a16:creationId xmlns:a16="http://schemas.microsoft.com/office/drawing/2014/main" id="{C84A4DE7-DD73-470D-A481-82E0C7900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14" name="Picture 1" descr="ALMASHRI_0">
          <a:extLst>
            <a:ext uri="{FF2B5EF4-FFF2-40B4-BE49-F238E27FC236}">
              <a16:creationId xmlns:a16="http://schemas.microsoft.com/office/drawing/2014/main" id="{578FA458-D5A6-43C8-8DEE-EFB18E568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15" name="Picture 1" descr="ALMASHRI_0">
          <a:extLst>
            <a:ext uri="{FF2B5EF4-FFF2-40B4-BE49-F238E27FC236}">
              <a16:creationId xmlns:a16="http://schemas.microsoft.com/office/drawing/2014/main" id="{489F12F5-DF6A-479B-8514-9083FF183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16" name="Picture 1" descr="ALMASHRI_0">
          <a:extLst>
            <a:ext uri="{FF2B5EF4-FFF2-40B4-BE49-F238E27FC236}">
              <a16:creationId xmlns:a16="http://schemas.microsoft.com/office/drawing/2014/main" id="{23E3A582-4B1C-4AA9-9FB4-CBCA21888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17" name="Picture 1" descr="ALMASHRI_0">
          <a:extLst>
            <a:ext uri="{FF2B5EF4-FFF2-40B4-BE49-F238E27FC236}">
              <a16:creationId xmlns:a16="http://schemas.microsoft.com/office/drawing/2014/main" id="{C8D247E4-376C-47FA-9A65-A3D3304EF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18" name="Picture 1" descr="ALMASHRI_0">
          <a:extLst>
            <a:ext uri="{FF2B5EF4-FFF2-40B4-BE49-F238E27FC236}">
              <a16:creationId xmlns:a16="http://schemas.microsoft.com/office/drawing/2014/main" id="{F8F2D3BA-F029-4CD5-8F7F-03FFF9033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19" name="Picture 1" descr="ALMASHRI_0">
          <a:extLst>
            <a:ext uri="{FF2B5EF4-FFF2-40B4-BE49-F238E27FC236}">
              <a16:creationId xmlns:a16="http://schemas.microsoft.com/office/drawing/2014/main" id="{CA70E779-395C-4749-A5E5-987155A15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20" name="Picture 1" descr="ALMASHRI_0">
          <a:extLst>
            <a:ext uri="{FF2B5EF4-FFF2-40B4-BE49-F238E27FC236}">
              <a16:creationId xmlns:a16="http://schemas.microsoft.com/office/drawing/2014/main" id="{49547651-CB6D-42D4-902D-2A43A9648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21" name="Picture 1" descr="ALMASHRI_0">
          <a:extLst>
            <a:ext uri="{FF2B5EF4-FFF2-40B4-BE49-F238E27FC236}">
              <a16:creationId xmlns:a16="http://schemas.microsoft.com/office/drawing/2014/main" id="{1F6B5FD0-4E93-46BC-AD0C-07521A8D5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22" name="Picture 1" descr="ALMASHRI_0">
          <a:extLst>
            <a:ext uri="{FF2B5EF4-FFF2-40B4-BE49-F238E27FC236}">
              <a16:creationId xmlns:a16="http://schemas.microsoft.com/office/drawing/2014/main" id="{E0D78A7C-C263-4001-A3B9-195DED192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23" name="Picture 1" descr="ALMASHRI_0">
          <a:extLst>
            <a:ext uri="{FF2B5EF4-FFF2-40B4-BE49-F238E27FC236}">
              <a16:creationId xmlns:a16="http://schemas.microsoft.com/office/drawing/2014/main" id="{C524831E-4705-423F-B1D1-BAF7BBD5A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24" name="Picture 1" descr="ALMASHRI_0">
          <a:extLst>
            <a:ext uri="{FF2B5EF4-FFF2-40B4-BE49-F238E27FC236}">
              <a16:creationId xmlns:a16="http://schemas.microsoft.com/office/drawing/2014/main" id="{AD2EF806-1B5B-4465-8F7A-08A73D199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25" name="Picture 1" descr="ALMASHRI_0">
          <a:extLst>
            <a:ext uri="{FF2B5EF4-FFF2-40B4-BE49-F238E27FC236}">
              <a16:creationId xmlns:a16="http://schemas.microsoft.com/office/drawing/2014/main" id="{9E5FACCE-268D-458A-9B54-DB06D56AD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26" name="Picture 1" descr="ALMASHRI_0">
          <a:extLst>
            <a:ext uri="{FF2B5EF4-FFF2-40B4-BE49-F238E27FC236}">
              <a16:creationId xmlns:a16="http://schemas.microsoft.com/office/drawing/2014/main" id="{58DFBE7A-88EB-469B-8FA7-2AFAF59BD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27" name="Picture 1" descr="ALMASHRI_0">
          <a:extLst>
            <a:ext uri="{FF2B5EF4-FFF2-40B4-BE49-F238E27FC236}">
              <a16:creationId xmlns:a16="http://schemas.microsoft.com/office/drawing/2014/main" id="{E20B101E-039B-493A-89E6-0251C6BF3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28" name="Picture 1" descr="ALMASHRI_0">
          <a:extLst>
            <a:ext uri="{FF2B5EF4-FFF2-40B4-BE49-F238E27FC236}">
              <a16:creationId xmlns:a16="http://schemas.microsoft.com/office/drawing/2014/main" id="{F93E0B69-7D30-40AB-AC75-F8A55CC88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29" name="Picture 1" descr="ALMASHRI_0">
          <a:extLst>
            <a:ext uri="{FF2B5EF4-FFF2-40B4-BE49-F238E27FC236}">
              <a16:creationId xmlns:a16="http://schemas.microsoft.com/office/drawing/2014/main" id="{B5AC77B3-0FED-4557-8C66-39C3034E9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0" name="Picture 1" descr="ALMASHRI_0">
          <a:extLst>
            <a:ext uri="{FF2B5EF4-FFF2-40B4-BE49-F238E27FC236}">
              <a16:creationId xmlns:a16="http://schemas.microsoft.com/office/drawing/2014/main" id="{AC10613A-F419-4840-A1D9-3BB3CF790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1" name="Picture 1" descr="ALMASHRI_0">
          <a:extLst>
            <a:ext uri="{FF2B5EF4-FFF2-40B4-BE49-F238E27FC236}">
              <a16:creationId xmlns:a16="http://schemas.microsoft.com/office/drawing/2014/main" id="{1C43FC94-84B3-47E8-9FE7-59A3EA2CD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2" name="Picture 1" descr="ALMASHRI_0">
          <a:extLst>
            <a:ext uri="{FF2B5EF4-FFF2-40B4-BE49-F238E27FC236}">
              <a16:creationId xmlns:a16="http://schemas.microsoft.com/office/drawing/2014/main" id="{D6AD5E4E-AF3E-42CC-BAF6-EF8250799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3" name="Picture 1" descr="ALMASHRI_0">
          <a:extLst>
            <a:ext uri="{FF2B5EF4-FFF2-40B4-BE49-F238E27FC236}">
              <a16:creationId xmlns:a16="http://schemas.microsoft.com/office/drawing/2014/main" id="{57467894-B7F7-47ED-AD15-31BE2ACBE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4" name="Picture 1" descr="ALMASHRI_0">
          <a:extLst>
            <a:ext uri="{FF2B5EF4-FFF2-40B4-BE49-F238E27FC236}">
              <a16:creationId xmlns:a16="http://schemas.microsoft.com/office/drawing/2014/main" id="{20515548-B8D0-4476-88DF-B587EFD96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5" name="Picture 1" descr="ALMASHRI_0">
          <a:extLst>
            <a:ext uri="{FF2B5EF4-FFF2-40B4-BE49-F238E27FC236}">
              <a16:creationId xmlns:a16="http://schemas.microsoft.com/office/drawing/2014/main" id="{10921A27-8EAC-4561-B6DE-4718FCD23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6" name="Picture 1" descr="ALMASHRI_0">
          <a:extLst>
            <a:ext uri="{FF2B5EF4-FFF2-40B4-BE49-F238E27FC236}">
              <a16:creationId xmlns:a16="http://schemas.microsoft.com/office/drawing/2014/main" id="{6BB1B194-BDEE-435C-89A3-388A0B1A7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7" name="Picture 1" descr="ALMASHRI_0">
          <a:extLst>
            <a:ext uri="{FF2B5EF4-FFF2-40B4-BE49-F238E27FC236}">
              <a16:creationId xmlns:a16="http://schemas.microsoft.com/office/drawing/2014/main" id="{3CE28CFC-3FAE-40AC-B7C1-00AA7E6A5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8" name="Picture 1" descr="ALMASHRI_0">
          <a:extLst>
            <a:ext uri="{FF2B5EF4-FFF2-40B4-BE49-F238E27FC236}">
              <a16:creationId xmlns:a16="http://schemas.microsoft.com/office/drawing/2014/main" id="{97F1F10E-86E6-44D4-8DFE-A912C5121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39" name="Picture 1" descr="ALMASHRI_0">
          <a:extLst>
            <a:ext uri="{FF2B5EF4-FFF2-40B4-BE49-F238E27FC236}">
              <a16:creationId xmlns:a16="http://schemas.microsoft.com/office/drawing/2014/main" id="{B68AE020-7C04-45E3-8443-519BFAF0B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40" name="Picture 1" descr="ALMASHRI_0">
          <a:extLst>
            <a:ext uri="{FF2B5EF4-FFF2-40B4-BE49-F238E27FC236}">
              <a16:creationId xmlns:a16="http://schemas.microsoft.com/office/drawing/2014/main" id="{C44BE3A1-C831-4907-B9B8-34CFC54C6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41" name="Picture 1" descr="ALMASHRI_0">
          <a:extLst>
            <a:ext uri="{FF2B5EF4-FFF2-40B4-BE49-F238E27FC236}">
              <a16:creationId xmlns:a16="http://schemas.microsoft.com/office/drawing/2014/main" id="{A124DA90-5DC3-4CD9-806F-40BA44654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42" name="Picture 1" descr="ALMASHRI_0">
          <a:extLst>
            <a:ext uri="{FF2B5EF4-FFF2-40B4-BE49-F238E27FC236}">
              <a16:creationId xmlns:a16="http://schemas.microsoft.com/office/drawing/2014/main" id="{E064BEA1-7C86-4AAE-9796-E075D33075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43" name="Picture 1" descr="ALMASHRI_0">
          <a:extLst>
            <a:ext uri="{FF2B5EF4-FFF2-40B4-BE49-F238E27FC236}">
              <a16:creationId xmlns:a16="http://schemas.microsoft.com/office/drawing/2014/main" id="{90EE4D7F-53D9-4380-A29F-B9C0B654A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44" name="Picture 1" descr="ALMASHRI_0">
          <a:extLst>
            <a:ext uri="{FF2B5EF4-FFF2-40B4-BE49-F238E27FC236}">
              <a16:creationId xmlns:a16="http://schemas.microsoft.com/office/drawing/2014/main" id="{1AFFE4F9-65BE-494B-BEC1-7417F96E7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45" name="Picture 1" descr="ALMASHRI_0">
          <a:extLst>
            <a:ext uri="{FF2B5EF4-FFF2-40B4-BE49-F238E27FC236}">
              <a16:creationId xmlns:a16="http://schemas.microsoft.com/office/drawing/2014/main" id="{F4AB91E1-4ACA-446E-B298-C8DDBB4A5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46" name="Picture 1" descr="ALMASHRI_0">
          <a:extLst>
            <a:ext uri="{FF2B5EF4-FFF2-40B4-BE49-F238E27FC236}">
              <a16:creationId xmlns:a16="http://schemas.microsoft.com/office/drawing/2014/main" id="{75001FFA-1575-4FEA-B054-BF1372C07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47" name="Picture 1" descr="ALMASHRI_0">
          <a:extLst>
            <a:ext uri="{FF2B5EF4-FFF2-40B4-BE49-F238E27FC236}">
              <a16:creationId xmlns:a16="http://schemas.microsoft.com/office/drawing/2014/main" id="{DCA483C9-A9AC-47DC-B955-9AE20C7EB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48" name="Picture 1" descr="ALMASHRI_0">
          <a:extLst>
            <a:ext uri="{FF2B5EF4-FFF2-40B4-BE49-F238E27FC236}">
              <a16:creationId xmlns:a16="http://schemas.microsoft.com/office/drawing/2014/main" id="{BC436129-9E96-4FA8-8D5B-8B73E1F8B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49" name="Picture 1" descr="ALMASHRI_0">
          <a:extLst>
            <a:ext uri="{FF2B5EF4-FFF2-40B4-BE49-F238E27FC236}">
              <a16:creationId xmlns:a16="http://schemas.microsoft.com/office/drawing/2014/main" id="{AAB67918-5F27-46D5-A59B-6B3616E44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0" name="Picture 1" descr="ALMASHRI_0">
          <a:extLst>
            <a:ext uri="{FF2B5EF4-FFF2-40B4-BE49-F238E27FC236}">
              <a16:creationId xmlns:a16="http://schemas.microsoft.com/office/drawing/2014/main" id="{7B87C5B4-9CA0-415E-97C7-D0F762788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1" name="Picture 1" descr="ALMASHRI_0">
          <a:extLst>
            <a:ext uri="{FF2B5EF4-FFF2-40B4-BE49-F238E27FC236}">
              <a16:creationId xmlns:a16="http://schemas.microsoft.com/office/drawing/2014/main" id="{02EBEEAD-AF04-48E2-BB73-2FC984BF0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2" name="Picture 1" descr="ALMASHRI_0">
          <a:extLst>
            <a:ext uri="{FF2B5EF4-FFF2-40B4-BE49-F238E27FC236}">
              <a16:creationId xmlns:a16="http://schemas.microsoft.com/office/drawing/2014/main" id="{A735156B-AC35-4DF1-8BC6-70C4CF06D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3" name="Picture 1" descr="ALMASHRI_0">
          <a:extLst>
            <a:ext uri="{FF2B5EF4-FFF2-40B4-BE49-F238E27FC236}">
              <a16:creationId xmlns:a16="http://schemas.microsoft.com/office/drawing/2014/main" id="{39AE8FB9-A3E5-4F84-A198-0F9473D4B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4" name="Picture 1" descr="ALMASHRI_0">
          <a:extLst>
            <a:ext uri="{FF2B5EF4-FFF2-40B4-BE49-F238E27FC236}">
              <a16:creationId xmlns:a16="http://schemas.microsoft.com/office/drawing/2014/main" id="{5A2D8859-AA2A-4E85-8183-D28A9C2BA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5" name="Picture 1" descr="ALMASHRI_0">
          <a:extLst>
            <a:ext uri="{FF2B5EF4-FFF2-40B4-BE49-F238E27FC236}">
              <a16:creationId xmlns:a16="http://schemas.microsoft.com/office/drawing/2014/main" id="{69BA7B95-42A2-4B54-A44D-9733E5411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6" name="Picture 1" descr="ALMASHRI_0">
          <a:extLst>
            <a:ext uri="{FF2B5EF4-FFF2-40B4-BE49-F238E27FC236}">
              <a16:creationId xmlns:a16="http://schemas.microsoft.com/office/drawing/2014/main" id="{CE86F6F9-5040-40D1-957B-F04449A65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7" name="Picture 1" descr="ALMASHRI_0">
          <a:extLst>
            <a:ext uri="{FF2B5EF4-FFF2-40B4-BE49-F238E27FC236}">
              <a16:creationId xmlns:a16="http://schemas.microsoft.com/office/drawing/2014/main" id="{59762BD7-C868-4497-AB92-455D0D108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8" name="Picture 1" descr="ALMASHRI_0">
          <a:extLst>
            <a:ext uri="{FF2B5EF4-FFF2-40B4-BE49-F238E27FC236}">
              <a16:creationId xmlns:a16="http://schemas.microsoft.com/office/drawing/2014/main" id="{02764F3E-8E1A-40E4-A9E2-3AD08CB54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359" name="Picture 1" descr="ALMASHRI_0">
          <a:extLst>
            <a:ext uri="{FF2B5EF4-FFF2-40B4-BE49-F238E27FC236}">
              <a16:creationId xmlns:a16="http://schemas.microsoft.com/office/drawing/2014/main" id="{86BBF177-63E8-4288-9C58-4F20E991B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0" name="Picture 1" descr="ALMASHRI_0">
          <a:extLst>
            <a:ext uri="{FF2B5EF4-FFF2-40B4-BE49-F238E27FC236}">
              <a16:creationId xmlns:a16="http://schemas.microsoft.com/office/drawing/2014/main" id="{C2D22070-07C3-43D0-A01F-D704CEFCC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1" name="Picture 1" descr="ALMASHRI_0">
          <a:extLst>
            <a:ext uri="{FF2B5EF4-FFF2-40B4-BE49-F238E27FC236}">
              <a16:creationId xmlns:a16="http://schemas.microsoft.com/office/drawing/2014/main" id="{6BC3C94E-FF71-4763-91BA-C81413152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2" name="Picture 1" descr="ALMASHRI_0">
          <a:extLst>
            <a:ext uri="{FF2B5EF4-FFF2-40B4-BE49-F238E27FC236}">
              <a16:creationId xmlns:a16="http://schemas.microsoft.com/office/drawing/2014/main" id="{3E6B4EC7-1C47-4636-B997-56AF3B5BD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3" name="Picture 1" descr="ALMASHRI_0">
          <a:extLst>
            <a:ext uri="{FF2B5EF4-FFF2-40B4-BE49-F238E27FC236}">
              <a16:creationId xmlns:a16="http://schemas.microsoft.com/office/drawing/2014/main" id="{7A6E8F62-88FC-45CF-BD06-078B63109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4" name="Picture 1" descr="ALMASHRI_0">
          <a:extLst>
            <a:ext uri="{FF2B5EF4-FFF2-40B4-BE49-F238E27FC236}">
              <a16:creationId xmlns:a16="http://schemas.microsoft.com/office/drawing/2014/main" id="{B46C49E1-63B7-467E-A5D4-306202FD4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5" name="Picture 1" descr="ALMASHRI_0">
          <a:extLst>
            <a:ext uri="{FF2B5EF4-FFF2-40B4-BE49-F238E27FC236}">
              <a16:creationId xmlns:a16="http://schemas.microsoft.com/office/drawing/2014/main" id="{08F0565A-0541-46B2-BE34-D8CCB798B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6" name="Picture 1" descr="ALMASHRI_0">
          <a:extLst>
            <a:ext uri="{FF2B5EF4-FFF2-40B4-BE49-F238E27FC236}">
              <a16:creationId xmlns:a16="http://schemas.microsoft.com/office/drawing/2014/main" id="{CF68BC31-7CD2-475A-852F-571093628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7" name="Picture 1" descr="ALMASHRI_0">
          <a:extLst>
            <a:ext uri="{FF2B5EF4-FFF2-40B4-BE49-F238E27FC236}">
              <a16:creationId xmlns:a16="http://schemas.microsoft.com/office/drawing/2014/main" id="{525E9702-2E14-4732-80A8-ACB7D769B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8" name="Picture 1" descr="ALMASHRI_0">
          <a:extLst>
            <a:ext uri="{FF2B5EF4-FFF2-40B4-BE49-F238E27FC236}">
              <a16:creationId xmlns:a16="http://schemas.microsoft.com/office/drawing/2014/main" id="{4CACF16B-277F-4E80-A4FC-1ABDB1F81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69" name="Picture 1" descr="ALMASHRI_0">
          <a:extLst>
            <a:ext uri="{FF2B5EF4-FFF2-40B4-BE49-F238E27FC236}">
              <a16:creationId xmlns:a16="http://schemas.microsoft.com/office/drawing/2014/main" id="{74959D8F-DD91-4702-9AA4-54585A78F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70" name="Picture 1" descr="ALMASHRI_0">
          <a:extLst>
            <a:ext uri="{FF2B5EF4-FFF2-40B4-BE49-F238E27FC236}">
              <a16:creationId xmlns:a16="http://schemas.microsoft.com/office/drawing/2014/main" id="{191CDB3E-178E-45A7-9E2D-9277B0421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71" name="Picture 1" descr="ALMASHRI_0">
          <a:extLst>
            <a:ext uri="{FF2B5EF4-FFF2-40B4-BE49-F238E27FC236}">
              <a16:creationId xmlns:a16="http://schemas.microsoft.com/office/drawing/2014/main" id="{7D411BEE-1105-4343-87F4-C6D5AC2D0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72" name="Picture 1" descr="ALMASHRI_0">
          <a:extLst>
            <a:ext uri="{FF2B5EF4-FFF2-40B4-BE49-F238E27FC236}">
              <a16:creationId xmlns:a16="http://schemas.microsoft.com/office/drawing/2014/main" id="{179A8891-C0E0-4EE6-9C57-51F277B9B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73" name="Picture 1" descr="ALMASHRI_0">
          <a:extLst>
            <a:ext uri="{FF2B5EF4-FFF2-40B4-BE49-F238E27FC236}">
              <a16:creationId xmlns:a16="http://schemas.microsoft.com/office/drawing/2014/main" id="{EBD2E50A-1E8B-4025-9A89-6E490968D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74" name="Picture 1" descr="ALMASHRI_0">
          <a:extLst>
            <a:ext uri="{FF2B5EF4-FFF2-40B4-BE49-F238E27FC236}">
              <a16:creationId xmlns:a16="http://schemas.microsoft.com/office/drawing/2014/main" id="{6004E09D-6731-4CE6-B8E7-D2C0B4166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375" name="Picture 1" descr="ALMASHRI_0">
          <a:extLst>
            <a:ext uri="{FF2B5EF4-FFF2-40B4-BE49-F238E27FC236}">
              <a16:creationId xmlns:a16="http://schemas.microsoft.com/office/drawing/2014/main" id="{8E159745-FAC6-405D-A7B5-9EC7F047D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76" name="Picture 1" descr="ALMASHRI_0">
          <a:extLst>
            <a:ext uri="{FF2B5EF4-FFF2-40B4-BE49-F238E27FC236}">
              <a16:creationId xmlns:a16="http://schemas.microsoft.com/office/drawing/2014/main" id="{259F49D7-5AB0-4F99-B7FE-A09B02714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77" name="Picture 1" descr="ALMASHRI_0">
          <a:extLst>
            <a:ext uri="{FF2B5EF4-FFF2-40B4-BE49-F238E27FC236}">
              <a16:creationId xmlns:a16="http://schemas.microsoft.com/office/drawing/2014/main" id="{1DB62A66-11FB-4B8E-9330-61F199C57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78" name="Picture 1" descr="ALMASHRI_0">
          <a:extLst>
            <a:ext uri="{FF2B5EF4-FFF2-40B4-BE49-F238E27FC236}">
              <a16:creationId xmlns:a16="http://schemas.microsoft.com/office/drawing/2014/main" id="{56E943B5-14F8-4A18-9AB5-AFC5004BB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79" name="Picture 1" descr="ALMASHRI_0">
          <a:extLst>
            <a:ext uri="{FF2B5EF4-FFF2-40B4-BE49-F238E27FC236}">
              <a16:creationId xmlns:a16="http://schemas.microsoft.com/office/drawing/2014/main" id="{0F949930-B8B8-420B-8C1C-4F3B98339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0" name="Picture 1" descr="ALMASHRI_0">
          <a:extLst>
            <a:ext uri="{FF2B5EF4-FFF2-40B4-BE49-F238E27FC236}">
              <a16:creationId xmlns:a16="http://schemas.microsoft.com/office/drawing/2014/main" id="{9043498B-5D84-4ED3-9756-3D4F485AB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1" name="Picture 1" descr="ALMASHRI_0">
          <a:extLst>
            <a:ext uri="{FF2B5EF4-FFF2-40B4-BE49-F238E27FC236}">
              <a16:creationId xmlns:a16="http://schemas.microsoft.com/office/drawing/2014/main" id="{5F2E2E15-F11E-47E8-BBB3-AB4E98188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2" name="Picture 1" descr="ALMASHRI_0">
          <a:extLst>
            <a:ext uri="{FF2B5EF4-FFF2-40B4-BE49-F238E27FC236}">
              <a16:creationId xmlns:a16="http://schemas.microsoft.com/office/drawing/2014/main" id="{D672C209-D484-4110-BFB0-974C53F36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3" name="Picture 1" descr="ALMASHRI_0">
          <a:extLst>
            <a:ext uri="{FF2B5EF4-FFF2-40B4-BE49-F238E27FC236}">
              <a16:creationId xmlns:a16="http://schemas.microsoft.com/office/drawing/2014/main" id="{68667BAF-E149-428D-8C1A-919778165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4" name="Picture 1" descr="ALMASHRI_0">
          <a:extLst>
            <a:ext uri="{FF2B5EF4-FFF2-40B4-BE49-F238E27FC236}">
              <a16:creationId xmlns:a16="http://schemas.microsoft.com/office/drawing/2014/main" id="{082B1C87-0177-4697-A92E-4EB5652D1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5" name="Picture 1" descr="ALMASHRI_0">
          <a:extLst>
            <a:ext uri="{FF2B5EF4-FFF2-40B4-BE49-F238E27FC236}">
              <a16:creationId xmlns:a16="http://schemas.microsoft.com/office/drawing/2014/main" id="{DDFA614A-9B6D-4936-82FD-D4376A018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6" name="Picture 1" descr="ALMASHRI_0">
          <a:extLst>
            <a:ext uri="{FF2B5EF4-FFF2-40B4-BE49-F238E27FC236}">
              <a16:creationId xmlns:a16="http://schemas.microsoft.com/office/drawing/2014/main" id="{F8ADB5D0-08BF-475D-8721-54BBE9F2A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7" name="Picture 1" descr="ALMASHRI_0">
          <a:extLst>
            <a:ext uri="{FF2B5EF4-FFF2-40B4-BE49-F238E27FC236}">
              <a16:creationId xmlns:a16="http://schemas.microsoft.com/office/drawing/2014/main" id="{898862F5-A453-422D-A037-2C260FF43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8" name="Picture 1" descr="ALMASHRI_0">
          <a:extLst>
            <a:ext uri="{FF2B5EF4-FFF2-40B4-BE49-F238E27FC236}">
              <a16:creationId xmlns:a16="http://schemas.microsoft.com/office/drawing/2014/main" id="{FF8906BB-D130-43EA-97F8-C9BDC9C0D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89" name="Picture 1" descr="ALMASHRI_0">
          <a:extLst>
            <a:ext uri="{FF2B5EF4-FFF2-40B4-BE49-F238E27FC236}">
              <a16:creationId xmlns:a16="http://schemas.microsoft.com/office/drawing/2014/main" id="{5699A250-7E60-4668-B850-415892DF5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90" name="Picture 1" descr="ALMASHRI_0">
          <a:extLst>
            <a:ext uri="{FF2B5EF4-FFF2-40B4-BE49-F238E27FC236}">
              <a16:creationId xmlns:a16="http://schemas.microsoft.com/office/drawing/2014/main" id="{B820D88F-DB75-4C04-BCE0-12C0199FD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391" name="Picture 1" descr="ALMASHRI_0">
          <a:extLst>
            <a:ext uri="{FF2B5EF4-FFF2-40B4-BE49-F238E27FC236}">
              <a16:creationId xmlns:a16="http://schemas.microsoft.com/office/drawing/2014/main" id="{46BCF82B-4DCE-45A5-93E0-3157C2EE7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92" name="Picture 1" descr="ALMASHRI_0">
          <a:extLst>
            <a:ext uri="{FF2B5EF4-FFF2-40B4-BE49-F238E27FC236}">
              <a16:creationId xmlns:a16="http://schemas.microsoft.com/office/drawing/2014/main" id="{83FD3F65-6979-4777-8EF8-ABBFB85D0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93" name="Picture 1" descr="ALMASHRI_0">
          <a:extLst>
            <a:ext uri="{FF2B5EF4-FFF2-40B4-BE49-F238E27FC236}">
              <a16:creationId xmlns:a16="http://schemas.microsoft.com/office/drawing/2014/main" id="{93063FE4-09B7-4416-A8FE-DB25116B6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94" name="Picture 1" descr="ALMASHRI_0">
          <a:extLst>
            <a:ext uri="{FF2B5EF4-FFF2-40B4-BE49-F238E27FC236}">
              <a16:creationId xmlns:a16="http://schemas.microsoft.com/office/drawing/2014/main" id="{C21CAE64-0925-4FE5-9963-681691DE9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95" name="Picture 1" descr="ALMASHRI_0">
          <a:extLst>
            <a:ext uri="{FF2B5EF4-FFF2-40B4-BE49-F238E27FC236}">
              <a16:creationId xmlns:a16="http://schemas.microsoft.com/office/drawing/2014/main" id="{9DFFDDD2-F573-4E99-A0E3-CCB0A1BC0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96" name="Picture 1" descr="ALMASHRI_0">
          <a:extLst>
            <a:ext uri="{FF2B5EF4-FFF2-40B4-BE49-F238E27FC236}">
              <a16:creationId xmlns:a16="http://schemas.microsoft.com/office/drawing/2014/main" id="{2972A8ED-C7E7-4ADE-964E-A79F9A6B2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97" name="Picture 1" descr="ALMASHRI_0">
          <a:extLst>
            <a:ext uri="{FF2B5EF4-FFF2-40B4-BE49-F238E27FC236}">
              <a16:creationId xmlns:a16="http://schemas.microsoft.com/office/drawing/2014/main" id="{70221A75-681D-473A-8963-939AE8D6A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98" name="Picture 1" descr="ALMASHRI_0">
          <a:extLst>
            <a:ext uri="{FF2B5EF4-FFF2-40B4-BE49-F238E27FC236}">
              <a16:creationId xmlns:a16="http://schemas.microsoft.com/office/drawing/2014/main" id="{422D0DA6-C2CE-45D1-80ED-B49314C9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399" name="Picture 1" descr="ALMASHRI_0">
          <a:extLst>
            <a:ext uri="{FF2B5EF4-FFF2-40B4-BE49-F238E27FC236}">
              <a16:creationId xmlns:a16="http://schemas.microsoft.com/office/drawing/2014/main" id="{25D3F1F5-7472-44DD-92A5-9B31C35BA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00" name="Picture 1" descr="ALMASHRI_0">
          <a:extLst>
            <a:ext uri="{FF2B5EF4-FFF2-40B4-BE49-F238E27FC236}">
              <a16:creationId xmlns:a16="http://schemas.microsoft.com/office/drawing/2014/main" id="{0F41E0EC-8C16-466F-9594-5D51209AC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01" name="Picture 1" descr="ALMASHRI_0">
          <a:extLst>
            <a:ext uri="{FF2B5EF4-FFF2-40B4-BE49-F238E27FC236}">
              <a16:creationId xmlns:a16="http://schemas.microsoft.com/office/drawing/2014/main" id="{095FEE62-542C-401F-9637-5FC92C0AD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02" name="Picture 1" descr="ALMASHRI_0">
          <a:extLst>
            <a:ext uri="{FF2B5EF4-FFF2-40B4-BE49-F238E27FC236}">
              <a16:creationId xmlns:a16="http://schemas.microsoft.com/office/drawing/2014/main" id="{93568373-CEF8-434E-9311-8BA32F9CD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03" name="Picture 1" descr="ALMASHRI_0">
          <a:extLst>
            <a:ext uri="{FF2B5EF4-FFF2-40B4-BE49-F238E27FC236}">
              <a16:creationId xmlns:a16="http://schemas.microsoft.com/office/drawing/2014/main" id="{30E0A01A-DF65-4F8A-AB16-62BE8177E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04" name="Picture 1" descr="ALMASHRI_0">
          <a:extLst>
            <a:ext uri="{FF2B5EF4-FFF2-40B4-BE49-F238E27FC236}">
              <a16:creationId xmlns:a16="http://schemas.microsoft.com/office/drawing/2014/main" id="{9FA56E79-D479-4CC2-83CE-BE2278272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05" name="Picture 1" descr="ALMASHRI_0">
          <a:extLst>
            <a:ext uri="{FF2B5EF4-FFF2-40B4-BE49-F238E27FC236}">
              <a16:creationId xmlns:a16="http://schemas.microsoft.com/office/drawing/2014/main" id="{8D0F955D-8AF3-48AF-A3F9-C0E86EAB4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06" name="Picture 1" descr="ALMASHRI_0">
          <a:extLst>
            <a:ext uri="{FF2B5EF4-FFF2-40B4-BE49-F238E27FC236}">
              <a16:creationId xmlns:a16="http://schemas.microsoft.com/office/drawing/2014/main" id="{57CD5DD4-D367-440C-A7F2-3758FF1D6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07" name="Picture 1" descr="ALMASHRI_0">
          <a:extLst>
            <a:ext uri="{FF2B5EF4-FFF2-40B4-BE49-F238E27FC236}">
              <a16:creationId xmlns:a16="http://schemas.microsoft.com/office/drawing/2014/main" id="{EB952AAE-9012-4E9A-99CA-735643DE7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08" name="Picture 1" descr="ALMASHRI_0">
          <a:extLst>
            <a:ext uri="{FF2B5EF4-FFF2-40B4-BE49-F238E27FC236}">
              <a16:creationId xmlns:a16="http://schemas.microsoft.com/office/drawing/2014/main" id="{E46EFCF8-345C-4213-986B-580D026F7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09" name="Picture 1" descr="ALMASHRI_0">
          <a:extLst>
            <a:ext uri="{FF2B5EF4-FFF2-40B4-BE49-F238E27FC236}">
              <a16:creationId xmlns:a16="http://schemas.microsoft.com/office/drawing/2014/main" id="{5BF3CFA1-E7AE-4FF9-818B-5342618EB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0" name="Picture 1" descr="ALMASHRI_0">
          <a:extLst>
            <a:ext uri="{FF2B5EF4-FFF2-40B4-BE49-F238E27FC236}">
              <a16:creationId xmlns:a16="http://schemas.microsoft.com/office/drawing/2014/main" id="{9CF3B9FF-8A0C-43ED-B456-2E567D978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1" name="Picture 1" descr="ALMASHRI_0">
          <a:extLst>
            <a:ext uri="{FF2B5EF4-FFF2-40B4-BE49-F238E27FC236}">
              <a16:creationId xmlns:a16="http://schemas.microsoft.com/office/drawing/2014/main" id="{99FEA969-CA42-4D78-9A48-7838D63BE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2" name="Picture 1" descr="ALMASHRI_0">
          <a:extLst>
            <a:ext uri="{FF2B5EF4-FFF2-40B4-BE49-F238E27FC236}">
              <a16:creationId xmlns:a16="http://schemas.microsoft.com/office/drawing/2014/main" id="{E4F4B665-2AEC-40E7-8359-381E28EA7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3" name="Picture 1" descr="ALMASHRI_0">
          <a:extLst>
            <a:ext uri="{FF2B5EF4-FFF2-40B4-BE49-F238E27FC236}">
              <a16:creationId xmlns:a16="http://schemas.microsoft.com/office/drawing/2014/main" id="{10E7A01E-FF02-4E9D-BFF0-6750585F8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4" name="Picture 1" descr="ALMASHRI_0">
          <a:extLst>
            <a:ext uri="{FF2B5EF4-FFF2-40B4-BE49-F238E27FC236}">
              <a16:creationId xmlns:a16="http://schemas.microsoft.com/office/drawing/2014/main" id="{6181A338-48BA-424E-AFE1-A446418DB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5" name="Picture 1" descr="ALMASHRI_0">
          <a:extLst>
            <a:ext uri="{FF2B5EF4-FFF2-40B4-BE49-F238E27FC236}">
              <a16:creationId xmlns:a16="http://schemas.microsoft.com/office/drawing/2014/main" id="{BEBD2BCB-BDD4-4E35-BF36-A25D92F9E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6" name="Picture 1" descr="ALMASHRI_0">
          <a:extLst>
            <a:ext uri="{FF2B5EF4-FFF2-40B4-BE49-F238E27FC236}">
              <a16:creationId xmlns:a16="http://schemas.microsoft.com/office/drawing/2014/main" id="{D8C09700-6474-4F65-876B-385CF083F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7" name="Picture 1" descr="ALMASHRI_0">
          <a:extLst>
            <a:ext uri="{FF2B5EF4-FFF2-40B4-BE49-F238E27FC236}">
              <a16:creationId xmlns:a16="http://schemas.microsoft.com/office/drawing/2014/main" id="{D483A13E-02FE-49F4-96F8-DDD3277CF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8" name="Picture 1" descr="ALMASHRI_0">
          <a:extLst>
            <a:ext uri="{FF2B5EF4-FFF2-40B4-BE49-F238E27FC236}">
              <a16:creationId xmlns:a16="http://schemas.microsoft.com/office/drawing/2014/main" id="{86B2DFB4-B6A2-4DD2-A79F-85E95BD4F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19" name="Picture 1" descr="ALMASHRI_0">
          <a:extLst>
            <a:ext uri="{FF2B5EF4-FFF2-40B4-BE49-F238E27FC236}">
              <a16:creationId xmlns:a16="http://schemas.microsoft.com/office/drawing/2014/main" id="{BB64D6F9-D0D1-498A-9BEC-A9B66DE64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20" name="Picture 1" descr="ALMASHRI_0">
          <a:extLst>
            <a:ext uri="{FF2B5EF4-FFF2-40B4-BE49-F238E27FC236}">
              <a16:creationId xmlns:a16="http://schemas.microsoft.com/office/drawing/2014/main" id="{A48D077B-19A2-47D7-B101-5C0875FE9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21" name="Picture 1" descr="ALMASHRI_0">
          <a:extLst>
            <a:ext uri="{FF2B5EF4-FFF2-40B4-BE49-F238E27FC236}">
              <a16:creationId xmlns:a16="http://schemas.microsoft.com/office/drawing/2014/main" id="{A28CD841-8E87-4ACC-903B-78388F0E1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22" name="Picture 1" descr="ALMASHRI_0">
          <a:extLst>
            <a:ext uri="{FF2B5EF4-FFF2-40B4-BE49-F238E27FC236}">
              <a16:creationId xmlns:a16="http://schemas.microsoft.com/office/drawing/2014/main" id="{BA5CC349-8CCB-49C2-A237-56773F67F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423" name="Picture 1" descr="ALMASHRI_0">
          <a:extLst>
            <a:ext uri="{FF2B5EF4-FFF2-40B4-BE49-F238E27FC236}">
              <a16:creationId xmlns:a16="http://schemas.microsoft.com/office/drawing/2014/main" id="{C632CE71-6D76-4B23-A075-F2B5B0AB8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24" name="Picture 1" descr="ALMASHRI_0">
          <a:extLst>
            <a:ext uri="{FF2B5EF4-FFF2-40B4-BE49-F238E27FC236}">
              <a16:creationId xmlns:a16="http://schemas.microsoft.com/office/drawing/2014/main" id="{EF81E866-3FE4-4B42-BE1C-A79EAA4DC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25" name="Picture 1" descr="ALMASHRI_0">
          <a:extLst>
            <a:ext uri="{FF2B5EF4-FFF2-40B4-BE49-F238E27FC236}">
              <a16:creationId xmlns:a16="http://schemas.microsoft.com/office/drawing/2014/main" id="{3A1455B9-3FE5-4A93-826D-1628642BC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26" name="Picture 1" descr="ALMASHRI_0">
          <a:extLst>
            <a:ext uri="{FF2B5EF4-FFF2-40B4-BE49-F238E27FC236}">
              <a16:creationId xmlns:a16="http://schemas.microsoft.com/office/drawing/2014/main" id="{4C560234-8E61-4839-83DE-41B479FC3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27" name="Picture 1" descr="ALMASHRI_0">
          <a:extLst>
            <a:ext uri="{FF2B5EF4-FFF2-40B4-BE49-F238E27FC236}">
              <a16:creationId xmlns:a16="http://schemas.microsoft.com/office/drawing/2014/main" id="{933BCA9C-09A9-436A-8819-61814FE49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28" name="Picture 1" descr="ALMASHRI_0">
          <a:extLst>
            <a:ext uri="{FF2B5EF4-FFF2-40B4-BE49-F238E27FC236}">
              <a16:creationId xmlns:a16="http://schemas.microsoft.com/office/drawing/2014/main" id="{C8E566B4-12BA-4C0B-A645-FE450F4BF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29" name="Picture 1" descr="ALMASHRI_0">
          <a:extLst>
            <a:ext uri="{FF2B5EF4-FFF2-40B4-BE49-F238E27FC236}">
              <a16:creationId xmlns:a16="http://schemas.microsoft.com/office/drawing/2014/main" id="{57C593EB-85C0-4FC4-A09F-B7C9BB066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0" name="Picture 1" descr="ALMASHRI_0">
          <a:extLst>
            <a:ext uri="{FF2B5EF4-FFF2-40B4-BE49-F238E27FC236}">
              <a16:creationId xmlns:a16="http://schemas.microsoft.com/office/drawing/2014/main" id="{969D6C90-DC75-45A4-BF01-6FEEABA1D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1" name="Picture 1" descr="ALMASHRI_0">
          <a:extLst>
            <a:ext uri="{FF2B5EF4-FFF2-40B4-BE49-F238E27FC236}">
              <a16:creationId xmlns:a16="http://schemas.microsoft.com/office/drawing/2014/main" id="{33DA95D8-88B5-4946-8B0D-D5FADF304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2" name="Picture 1" descr="ALMASHRI_0">
          <a:extLst>
            <a:ext uri="{FF2B5EF4-FFF2-40B4-BE49-F238E27FC236}">
              <a16:creationId xmlns:a16="http://schemas.microsoft.com/office/drawing/2014/main" id="{23F04DFF-6F44-4E55-BC90-7AF3979E8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3" name="Picture 1" descr="ALMASHRI_0">
          <a:extLst>
            <a:ext uri="{FF2B5EF4-FFF2-40B4-BE49-F238E27FC236}">
              <a16:creationId xmlns:a16="http://schemas.microsoft.com/office/drawing/2014/main" id="{D6D4E2D4-C894-463E-8788-D2E2646A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4" name="Picture 1" descr="ALMASHRI_0">
          <a:extLst>
            <a:ext uri="{FF2B5EF4-FFF2-40B4-BE49-F238E27FC236}">
              <a16:creationId xmlns:a16="http://schemas.microsoft.com/office/drawing/2014/main" id="{A5921C7C-8B22-4EE1-9F07-72736CF87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5" name="Picture 1" descr="ALMASHRI_0">
          <a:extLst>
            <a:ext uri="{FF2B5EF4-FFF2-40B4-BE49-F238E27FC236}">
              <a16:creationId xmlns:a16="http://schemas.microsoft.com/office/drawing/2014/main" id="{24879AAD-E5D9-4F6F-B5FF-FA585B96C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6" name="Picture 1" descr="ALMASHRI_0">
          <a:extLst>
            <a:ext uri="{FF2B5EF4-FFF2-40B4-BE49-F238E27FC236}">
              <a16:creationId xmlns:a16="http://schemas.microsoft.com/office/drawing/2014/main" id="{917950A1-16A3-4CD5-8310-2B51CEC90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7" name="Picture 1" descr="ALMASHRI_0">
          <a:extLst>
            <a:ext uri="{FF2B5EF4-FFF2-40B4-BE49-F238E27FC236}">
              <a16:creationId xmlns:a16="http://schemas.microsoft.com/office/drawing/2014/main" id="{D0C226EB-8E9A-43C8-8B7E-4F25AAF5E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8" name="Picture 1" descr="ALMASHRI_0">
          <a:extLst>
            <a:ext uri="{FF2B5EF4-FFF2-40B4-BE49-F238E27FC236}">
              <a16:creationId xmlns:a16="http://schemas.microsoft.com/office/drawing/2014/main" id="{30724720-0711-4AA1-9B93-47D6993DD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439" name="Picture 1" descr="ALMASHRI_0">
          <a:extLst>
            <a:ext uri="{FF2B5EF4-FFF2-40B4-BE49-F238E27FC236}">
              <a16:creationId xmlns:a16="http://schemas.microsoft.com/office/drawing/2014/main" id="{5E73D31C-6B7C-402D-B83A-396CBA750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0" name="Picture 1" descr="ALMASHRI_0">
          <a:extLst>
            <a:ext uri="{FF2B5EF4-FFF2-40B4-BE49-F238E27FC236}">
              <a16:creationId xmlns:a16="http://schemas.microsoft.com/office/drawing/2014/main" id="{A879F229-F06F-42AD-BAA5-80F7C0845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1" name="Picture 1" descr="ALMASHRI_0">
          <a:extLst>
            <a:ext uri="{FF2B5EF4-FFF2-40B4-BE49-F238E27FC236}">
              <a16:creationId xmlns:a16="http://schemas.microsoft.com/office/drawing/2014/main" id="{CBD9CF4B-C83E-4B18-957F-07BB53C32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2" name="Picture 1" descr="ALMASHRI_0">
          <a:extLst>
            <a:ext uri="{FF2B5EF4-FFF2-40B4-BE49-F238E27FC236}">
              <a16:creationId xmlns:a16="http://schemas.microsoft.com/office/drawing/2014/main" id="{20AD2C79-E57A-4A84-90FB-FFE3817FE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3" name="Picture 1" descr="ALMASHRI_0">
          <a:extLst>
            <a:ext uri="{FF2B5EF4-FFF2-40B4-BE49-F238E27FC236}">
              <a16:creationId xmlns:a16="http://schemas.microsoft.com/office/drawing/2014/main" id="{B69D3964-829E-415A-9C20-8B0F30C54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4" name="Picture 1" descr="ALMASHRI_0">
          <a:extLst>
            <a:ext uri="{FF2B5EF4-FFF2-40B4-BE49-F238E27FC236}">
              <a16:creationId xmlns:a16="http://schemas.microsoft.com/office/drawing/2014/main" id="{9682126D-9772-45EE-9483-85604CE2F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5" name="Picture 1" descr="ALMASHRI_0">
          <a:extLst>
            <a:ext uri="{FF2B5EF4-FFF2-40B4-BE49-F238E27FC236}">
              <a16:creationId xmlns:a16="http://schemas.microsoft.com/office/drawing/2014/main" id="{38174AB1-1C0A-4BC3-A465-714370D54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6" name="Picture 1" descr="ALMASHRI_0">
          <a:extLst>
            <a:ext uri="{FF2B5EF4-FFF2-40B4-BE49-F238E27FC236}">
              <a16:creationId xmlns:a16="http://schemas.microsoft.com/office/drawing/2014/main" id="{973FCC0D-4C5F-4B12-9C00-EE187830F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7" name="Picture 1" descr="ALMASHRI_0">
          <a:extLst>
            <a:ext uri="{FF2B5EF4-FFF2-40B4-BE49-F238E27FC236}">
              <a16:creationId xmlns:a16="http://schemas.microsoft.com/office/drawing/2014/main" id="{3C087F2A-3A5A-485F-B1FA-CD86A2657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8" name="Picture 1" descr="ALMASHRI_0">
          <a:extLst>
            <a:ext uri="{FF2B5EF4-FFF2-40B4-BE49-F238E27FC236}">
              <a16:creationId xmlns:a16="http://schemas.microsoft.com/office/drawing/2014/main" id="{01F7E7C8-96EC-4841-A44C-4112A3C69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49" name="Picture 1" descr="ALMASHRI_0">
          <a:extLst>
            <a:ext uri="{FF2B5EF4-FFF2-40B4-BE49-F238E27FC236}">
              <a16:creationId xmlns:a16="http://schemas.microsoft.com/office/drawing/2014/main" id="{093A81F0-802A-4FFA-9101-1DB058E61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50" name="Picture 1" descr="ALMASHRI_0">
          <a:extLst>
            <a:ext uri="{FF2B5EF4-FFF2-40B4-BE49-F238E27FC236}">
              <a16:creationId xmlns:a16="http://schemas.microsoft.com/office/drawing/2014/main" id="{37796806-EE20-4509-9076-D12745AC1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51" name="Picture 1" descr="ALMASHRI_0">
          <a:extLst>
            <a:ext uri="{FF2B5EF4-FFF2-40B4-BE49-F238E27FC236}">
              <a16:creationId xmlns:a16="http://schemas.microsoft.com/office/drawing/2014/main" id="{D4A3546B-90FA-4C81-8845-C936B7148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52" name="Picture 1" descr="ALMASHRI_0">
          <a:extLst>
            <a:ext uri="{FF2B5EF4-FFF2-40B4-BE49-F238E27FC236}">
              <a16:creationId xmlns:a16="http://schemas.microsoft.com/office/drawing/2014/main" id="{E67FFEB7-C502-4E4B-9A3E-B5221F421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53" name="Picture 1" descr="ALMASHRI_0">
          <a:extLst>
            <a:ext uri="{FF2B5EF4-FFF2-40B4-BE49-F238E27FC236}">
              <a16:creationId xmlns:a16="http://schemas.microsoft.com/office/drawing/2014/main" id="{651A6214-7E27-48C7-AA1F-7CBAEE830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54" name="Picture 1" descr="ALMASHRI_0">
          <a:extLst>
            <a:ext uri="{FF2B5EF4-FFF2-40B4-BE49-F238E27FC236}">
              <a16:creationId xmlns:a16="http://schemas.microsoft.com/office/drawing/2014/main" id="{D8962077-E642-44C2-A2CA-A7DF4C843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455" name="Picture 1" descr="ALMASHRI_0">
          <a:extLst>
            <a:ext uri="{FF2B5EF4-FFF2-40B4-BE49-F238E27FC236}">
              <a16:creationId xmlns:a16="http://schemas.microsoft.com/office/drawing/2014/main" id="{4D938EA6-1D97-49FC-9A64-3F8D992CAE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56" name="Picture 1" descr="ALMASHRI_0">
          <a:extLst>
            <a:ext uri="{FF2B5EF4-FFF2-40B4-BE49-F238E27FC236}">
              <a16:creationId xmlns:a16="http://schemas.microsoft.com/office/drawing/2014/main" id="{17CFBD65-2389-4008-B847-8574A1ED4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57" name="Picture 1" descr="ALMASHRI_0">
          <a:extLst>
            <a:ext uri="{FF2B5EF4-FFF2-40B4-BE49-F238E27FC236}">
              <a16:creationId xmlns:a16="http://schemas.microsoft.com/office/drawing/2014/main" id="{B02C540D-5D47-46F7-A33A-811FEA102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58" name="Picture 1" descr="ALMASHRI_0">
          <a:extLst>
            <a:ext uri="{FF2B5EF4-FFF2-40B4-BE49-F238E27FC236}">
              <a16:creationId xmlns:a16="http://schemas.microsoft.com/office/drawing/2014/main" id="{C4F79D3A-6FD5-4182-B79A-F6245AA0A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59" name="Picture 1" descr="ALMASHRI_0">
          <a:extLst>
            <a:ext uri="{FF2B5EF4-FFF2-40B4-BE49-F238E27FC236}">
              <a16:creationId xmlns:a16="http://schemas.microsoft.com/office/drawing/2014/main" id="{97A6D927-85CE-41C2-9569-AA9CB06F6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0" name="Picture 1" descr="ALMASHRI_0">
          <a:extLst>
            <a:ext uri="{FF2B5EF4-FFF2-40B4-BE49-F238E27FC236}">
              <a16:creationId xmlns:a16="http://schemas.microsoft.com/office/drawing/2014/main" id="{A8A4C797-3AC5-43C5-BD1F-F9FEFD1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1" name="Picture 1" descr="ALMASHRI_0">
          <a:extLst>
            <a:ext uri="{FF2B5EF4-FFF2-40B4-BE49-F238E27FC236}">
              <a16:creationId xmlns:a16="http://schemas.microsoft.com/office/drawing/2014/main" id="{CBEA6CD2-2621-46E7-B17C-D28D1D03B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2" name="Picture 1" descr="ALMASHRI_0">
          <a:extLst>
            <a:ext uri="{FF2B5EF4-FFF2-40B4-BE49-F238E27FC236}">
              <a16:creationId xmlns:a16="http://schemas.microsoft.com/office/drawing/2014/main" id="{7F3418B0-0B05-4440-AD88-B7BD30596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3" name="Picture 1" descr="ALMASHRI_0">
          <a:extLst>
            <a:ext uri="{FF2B5EF4-FFF2-40B4-BE49-F238E27FC236}">
              <a16:creationId xmlns:a16="http://schemas.microsoft.com/office/drawing/2014/main" id="{942C49ED-1CE5-4CA5-ABEE-28478A0A5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4" name="Picture 1" descr="ALMASHRI_0">
          <a:extLst>
            <a:ext uri="{FF2B5EF4-FFF2-40B4-BE49-F238E27FC236}">
              <a16:creationId xmlns:a16="http://schemas.microsoft.com/office/drawing/2014/main" id="{BED57984-E8D1-4CDF-9DAD-F2E527B7E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5" name="Picture 1" descr="ALMASHRI_0">
          <a:extLst>
            <a:ext uri="{FF2B5EF4-FFF2-40B4-BE49-F238E27FC236}">
              <a16:creationId xmlns:a16="http://schemas.microsoft.com/office/drawing/2014/main" id="{5CE2210E-393C-41A5-9E62-262475AEB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6" name="Picture 1" descr="ALMASHRI_0">
          <a:extLst>
            <a:ext uri="{FF2B5EF4-FFF2-40B4-BE49-F238E27FC236}">
              <a16:creationId xmlns:a16="http://schemas.microsoft.com/office/drawing/2014/main" id="{3C388A62-3746-43D4-9B01-7899D3841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7" name="Picture 1" descr="ALMASHRI_0">
          <a:extLst>
            <a:ext uri="{FF2B5EF4-FFF2-40B4-BE49-F238E27FC236}">
              <a16:creationId xmlns:a16="http://schemas.microsoft.com/office/drawing/2014/main" id="{6E6F858A-83F4-4905-A24B-430A54C66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8" name="Picture 1" descr="ALMASHRI_0">
          <a:extLst>
            <a:ext uri="{FF2B5EF4-FFF2-40B4-BE49-F238E27FC236}">
              <a16:creationId xmlns:a16="http://schemas.microsoft.com/office/drawing/2014/main" id="{630342BF-9564-4268-B529-79499DA0E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69" name="Picture 1" descr="ALMASHRI_0">
          <a:extLst>
            <a:ext uri="{FF2B5EF4-FFF2-40B4-BE49-F238E27FC236}">
              <a16:creationId xmlns:a16="http://schemas.microsoft.com/office/drawing/2014/main" id="{D764DCD5-F82B-47CF-833B-214337928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70" name="Picture 1" descr="ALMASHRI_0">
          <a:extLst>
            <a:ext uri="{FF2B5EF4-FFF2-40B4-BE49-F238E27FC236}">
              <a16:creationId xmlns:a16="http://schemas.microsoft.com/office/drawing/2014/main" id="{4ACBC047-BD6A-4918-8389-5F94D7B24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471" name="Picture 1" descr="ALMASHRI_0">
          <a:extLst>
            <a:ext uri="{FF2B5EF4-FFF2-40B4-BE49-F238E27FC236}">
              <a16:creationId xmlns:a16="http://schemas.microsoft.com/office/drawing/2014/main" id="{2D575CA6-BF51-47A4-ACC3-71C2C5FE0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72" name="Picture 1" descr="ALMASHRI_0">
          <a:extLst>
            <a:ext uri="{FF2B5EF4-FFF2-40B4-BE49-F238E27FC236}">
              <a16:creationId xmlns:a16="http://schemas.microsoft.com/office/drawing/2014/main" id="{B3CAAA2A-F41D-41DD-88CA-A626692D3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73" name="Picture 1" descr="ALMASHRI_0">
          <a:extLst>
            <a:ext uri="{FF2B5EF4-FFF2-40B4-BE49-F238E27FC236}">
              <a16:creationId xmlns:a16="http://schemas.microsoft.com/office/drawing/2014/main" id="{4528E6CF-A3B4-400A-9F6C-A853C8954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74" name="Picture 1" descr="ALMASHRI_0">
          <a:extLst>
            <a:ext uri="{FF2B5EF4-FFF2-40B4-BE49-F238E27FC236}">
              <a16:creationId xmlns:a16="http://schemas.microsoft.com/office/drawing/2014/main" id="{DC9A7184-6B65-4414-97C1-46046FFF6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75" name="Picture 1" descr="ALMASHRI_0">
          <a:extLst>
            <a:ext uri="{FF2B5EF4-FFF2-40B4-BE49-F238E27FC236}">
              <a16:creationId xmlns:a16="http://schemas.microsoft.com/office/drawing/2014/main" id="{AEF4FA01-4376-4CBB-8789-9D5DE8812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76" name="Picture 1" descr="ALMASHRI_0">
          <a:extLst>
            <a:ext uri="{FF2B5EF4-FFF2-40B4-BE49-F238E27FC236}">
              <a16:creationId xmlns:a16="http://schemas.microsoft.com/office/drawing/2014/main" id="{7AA30054-69E7-482E-B1C2-F473160C5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77" name="Picture 1" descr="ALMASHRI_0">
          <a:extLst>
            <a:ext uri="{FF2B5EF4-FFF2-40B4-BE49-F238E27FC236}">
              <a16:creationId xmlns:a16="http://schemas.microsoft.com/office/drawing/2014/main" id="{27AD930D-849D-4E82-864E-2B29732A6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78" name="Picture 1" descr="ALMASHRI_0">
          <a:extLst>
            <a:ext uri="{FF2B5EF4-FFF2-40B4-BE49-F238E27FC236}">
              <a16:creationId xmlns:a16="http://schemas.microsoft.com/office/drawing/2014/main" id="{C0EEC2D8-1AE1-4C07-956F-7E29768C3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79" name="Picture 1" descr="ALMASHRI_0">
          <a:extLst>
            <a:ext uri="{FF2B5EF4-FFF2-40B4-BE49-F238E27FC236}">
              <a16:creationId xmlns:a16="http://schemas.microsoft.com/office/drawing/2014/main" id="{3B78685C-E2CA-44FB-A1C5-7272810C2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80" name="Picture 1" descr="ALMASHRI_0">
          <a:extLst>
            <a:ext uri="{FF2B5EF4-FFF2-40B4-BE49-F238E27FC236}">
              <a16:creationId xmlns:a16="http://schemas.microsoft.com/office/drawing/2014/main" id="{248383AC-58C7-4C5B-97F4-49B2A60CA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81" name="Picture 1" descr="ALMASHRI_0">
          <a:extLst>
            <a:ext uri="{FF2B5EF4-FFF2-40B4-BE49-F238E27FC236}">
              <a16:creationId xmlns:a16="http://schemas.microsoft.com/office/drawing/2014/main" id="{E5E49EFC-05AD-4A3F-AFF4-5A176136D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82" name="Picture 1" descr="ALMASHRI_0">
          <a:extLst>
            <a:ext uri="{FF2B5EF4-FFF2-40B4-BE49-F238E27FC236}">
              <a16:creationId xmlns:a16="http://schemas.microsoft.com/office/drawing/2014/main" id="{34A09D52-2750-4EFB-A595-BDDDFF311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83" name="Picture 1" descr="ALMASHRI_0">
          <a:extLst>
            <a:ext uri="{FF2B5EF4-FFF2-40B4-BE49-F238E27FC236}">
              <a16:creationId xmlns:a16="http://schemas.microsoft.com/office/drawing/2014/main" id="{53E60302-CB5A-4F6C-A0A6-AE20C24A0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84" name="Picture 1" descr="ALMASHRI_0">
          <a:extLst>
            <a:ext uri="{FF2B5EF4-FFF2-40B4-BE49-F238E27FC236}">
              <a16:creationId xmlns:a16="http://schemas.microsoft.com/office/drawing/2014/main" id="{62653DB3-57E1-4C4E-BCBC-1C44409EE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85" name="Picture 1" descr="ALMASHRI_0">
          <a:extLst>
            <a:ext uri="{FF2B5EF4-FFF2-40B4-BE49-F238E27FC236}">
              <a16:creationId xmlns:a16="http://schemas.microsoft.com/office/drawing/2014/main" id="{0FD3877E-66F3-410D-B638-4EB4A643A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86" name="Picture 1" descr="ALMASHRI_0">
          <a:extLst>
            <a:ext uri="{FF2B5EF4-FFF2-40B4-BE49-F238E27FC236}">
              <a16:creationId xmlns:a16="http://schemas.microsoft.com/office/drawing/2014/main" id="{5AFAECD3-CC10-4A9B-8D2A-C905BB069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487" name="Picture 1" descr="ALMASHRI_0">
          <a:extLst>
            <a:ext uri="{FF2B5EF4-FFF2-40B4-BE49-F238E27FC236}">
              <a16:creationId xmlns:a16="http://schemas.microsoft.com/office/drawing/2014/main" id="{A8FE02B2-B0AE-4343-8EF8-35685A35A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88" name="Picture 1" descr="ALMASHRI_0">
          <a:extLst>
            <a:ext uri="{FF2B5EF4-FFF2-40B4-BE49-F238E27FC236}">
              <a16:creationId xmlns:a16="http://schemas.microsoft.com/office/drawing/2014/main" id="{7B2D997B-351A-4359-A054-69BBB7897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89" name="Picture 1" descr="ALMASHRI_0">
          <a:extLst>
            <a:ext uri="{FF2B5EF4-FFF2-40B4-BE49-F238E27FC236}">
              <a16:creationId xmlns:a16="http://schemas.microsoft.com/office/drawing/2014/main" id="{D5B864E0-B17C-44C3-B1F8-85C4C5711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0" name="Picture 1" descr="ALMASHRI_0">
          <a:extLst>
            <a:ext uri="{FF2B5EF4-FFF2-40B4-BE49-F238E27FC236}">
              <a16:creationId xmlns:a16="http://schemas.microsoft.com/office/drawing/2014/main" id="{B9D75302-ED55-4A4B-B677-BF57DBE7F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1" name="Picture 1" descr="ALMASHRI_0">
          <a:extLst>
            <a:ext uri="{FF2B5EF4-FFF2-40B4-BE49-F238E27FC236}">
              <a16:creationId xmlns:a16="http://schemas.microsoft.com/office/drawing/2014/main" id="{A7AF350E-6FB7-49A2-AA00-D4311CC27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2" name="Picture 1" descr="ALMASHRI_0">
          <a:extLst>
            <a:ext uri="{FF2B5EF4-FFF2-40B4-BE49-F238E27FC236}">
              <a16:creationId xmlns:a16="http://schemas.microsoft.com/office/drawing/2014/main" id="{E9E0C98E-5FB2-4FF3-81C3-DF06AFE84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3" name="Picture 1" descr="ALMASHRI_0">
          <a:extLst>
            <a:ext uri="{FF2B5EF4-FFF2-40B4-BE49-F238E27FC236}">
              <a16:creationId xmlns:a16="http://schemas.microsoft.com/office/drawing/2014/main" id="{9E35B2F9-56F6-4309-9567-5CB0C5FB5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4" name="Picture 1" descr="ALMASHRI_0">
          <a:extLst>
            <a:ext uri="{FF2B5EF4-FFF2-40B4-BE49-F238E27FC236}">
              <a16:creationId xmlns:a16="http://schemas.microsoft.com/office/drawing/2014/main" id="{274A9400-6E84-4741-B640-A10379CFB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5" name="Picture 1" descr="ALMASHRI_0">
          <a:extLst>
            <a:ext uri="{FF2B5EF4-FFF2-40B4-BE49-F238E27FC236}">
              <a16:creationId xmlns:a16="http://schemas.microsoft.com/office/drawing/2014/main" id="{242FD85E-5EB8-4E6B-B9F4-7157C41A3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6" name="Picture 1" descr="ALMASHRI_0">
          <a:extLst>
            <a:ext uri="{FF2B5EF4-FFF2-40B4-BE49-F238E27FC236}">
              <a16:creationId xmlns:a16="http://schemas.microsoft.com/office/drawing/2014/main" id="{8E2C3FFB-0444-469B-A00A-3C21CF2B2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7" name="Picture 1" descr="ALMASHRI_0">
          <a:extLst>
            <a:ext uri="{FF2B5EF4-FFF2-40B4-BE49-F238E27FC236}">
              <a16:creationId xmlns:a16="http://schemas.microsoft.com/office/drawing/2014/main" id="{01AD8418-52C8-4529-A9D0-B2412FF23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8" name="Picture 1" descr="ALMASHRI_0">
          <a:extLst>
            <a:ext uri="{FF2B5EF4-FFF2-40B4-BE49-F238E27FC236}">
              <a16:creationId xmlns:a16="http://schemas.microsoft.com/office/drawing/2014/main" id="{A994839D-0D2A-4E30-91ED-4B738C6E6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499" name="Picture 1" descr="ALMASHRI_0">
          <a:extLst>
            <a:ext uri="{FF2B5EF4-FFF2-40B4-BE49-F238E27FC236}">
              <a16:creationId xmlns:a16="http://schemas.microsoft.com/office/drawing/2014/main" id="{9B2C96B6-06FF-4647-B3AC-E1759909C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500" name="Picture 1" descr="ALMASHRI_0">
          <a:extLst>
            <a:ext uri="{FF2B5EF4-FFF2-40B4-BE49-F238E27FC236}">
              <a16:creationId xmlns:a16="http://schemas.microsoft.com/office/drawing/2014/main" id="{CD7B1A7B-78BC-4854-9062-9DD96DB61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501" name="Picture 1" descr="ALMASHRI_0">
          <a:extLst>
            <a:ext uri="{FF2B5EF4-FFF2-40B4-BE49-F238E27FC236}">
              <a16:creationId xmlns:a16="http://schemas.microsoft.com/office/drawing/2014/main" id="{8D4E50CB-1204-4079-80DF-68399E0F3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502" name="Picture 1" descr="ALMASHRI_0">
          <a:extLst>
            <a:ext uri="{FF2B5EF4-FFF2-40B4-BE49-F238E27FC236}">
              <a16:creationId xmlns:a16="http://schemas.microsoft.com/office/drawing/2014/main" id="{F9744364-8EB0-4443-9A56-209F61B41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503" name="Picture 1" descr="ALMASHRI_0">
          <a:extLst>
            <a:ext uri="{FF2B5EF4-FFF2-40B4-BE49-F238E27FC236}">
              <a16:creationId xmlns:a16="http://schemas.microsoft.com/office/drawing/2014/main" id="{BE650DFA-1B81-4445-A0F6-CCC4CB428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04" name="Picture 1" descr="ALMASHRI_0">
          <a:extLst>
            <a:ext uri="{FF2B5EF4-FFF2-40B4-BE49-F238E27FC236}">
              <a16:creationId xmlns:a16="http://schemas.microsoft.com/office/drawing/2014/main" id="{A7F5B381-210C-4F92-AF28-8D6246D73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05" name="Picture 1" descr="ALMASHRI_0">
          <a:extLst>
            <a:ext uri="{FF2B5EF4-FFF2-40B4-BE49-F238E27FC236}">
              <a16:creationId xmlns:a16="http://schemas.microsoft.com/office/drawing/2014/main" id="{F5AB877E-8A64-4291-A3A4-38955C4BC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06" name="Picture 1" descr="ALMASHRI_0">
          <a:extLst>
            <a:ext uri="{FF2B5EF4-FFF2-40B4-BE49-F238E27FC236}">
              <a16:creationId xmlns:a16="http://schemas.microsoft.com/office/drawing/2014/main" id="{D9FCC22C-79D3-4073-8684-5129F98D7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07" name="Picture 1" descr="ALMASHRI_0">
          <a:extLst>
            <a:ext uri="{FF2B5EF4-FFF2-40B4-BE49-F238E27FC236}">
              <a16:creationId xmlns:a16="http://schemas.microsoft.com/office/drawing/2014/main" id="{F095B60B-F87B-425A-8645-41A646A30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08" name="Picture 1" descr="ALMASHRI_0">
          <a:extLst>
            <a:ext uri="{FF2B5EF4-FFF2-40B4-BE49-F238E27FC236}">
              <a16:creationId xmlns:a16="http://schemas.microsoft.com/office/drawing/2014/main" id="{5CAB0B0E-4C8D-4FDC-8A45-A290CF4F2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09" name="Picture 1" descr="ALMASHRI_0">
          <a:extLst>
            <a:ext uri="{FF2B5EF4-FFF2-40B4-BE49-F238E27FC236}">
              <a16:creationId xmlns:a16="http://schemas.microsoft.com/office/drawing/2014/main" id="{21F418C3-7A4A-4982-A15F-D57295AE5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0" name="Picture 1" descr="ALMASHRI_0">
          <a:extLst>
            <a:ext uri="{FF2B5EF4-FFF2-40B4-BE49-F238E27FC236}">
              <a16:creationId xmlns:a16="http://schemas.microsoft.com/office/drawing/2014/main" id="{547E0A2C-1AC1-4C2C-9EBC-6C8C7DE07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1" name="Picture 1" descr="ALMASHRI_0">
          <a:extLst>
            <a:ext uri="{FF2B5EF4-FFF2-40B4-BE49-F238E27FC236}">
              <a16:creationId xmlns:a16="http://schemas.microsoft.com/office/drawing/2014/main" id="{092C5268-968C-450B-9052-73C451809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2" name="Picture 1" descr="ALMASHRI_0">
          <a:extLst>
            <a:ext uri="{FF2B5EF4-FFF2-40B4-BE49-F238E27FC236}">
              <a16:creationId xmlns:a16="http://schemas.microsoft.com/office/drawing/2014/main" id="{7F84A621-FFBB-431A-B13C-8130CB18B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3" name="Picture 1" descr="ALMASHRI_0">
          <a:extLst>
            <a:ext uri="{FF2B5EF4-FFF2-40B4-BE49-F238E27FC236}">
              <a16:creationId xmlns:a16="http://schemas.microsoft.com/office/drawing/2014/main" id="{E0AFA885-4589-4C20-BD9C-8F8D9418A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4" name="Picture 1" descr="ALMASHRI_0">
          <a:extLst>
            <a:ext uri="{FF2B5EF4-FFF2-40B4-BE49-F238E27FC236}">
              <a16:creationId xmlns:a16="http://schemas.microsoft.com/office/drawing/2014/main" id="{AEF25126-92C2-4214-A937-B4AA1CB84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5" name="Picture 1" descr="ALMASHRI_0">
          <a:extLst>
            <a:ext uri="{FF2B5EF4-FFF2-40B4-BE49-F238E27FC236}">
              <a16:creationId xmlns:a16="http://schemas.microsoft.com/office/drawing/2014/main" id="{6FCEE959-B7DC-4A46-A2AB-E06B53E0B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6" name="Picture 1" descr="ALMASHRI_0">
          <a:extLst>
            <a:ext uri="{FF2B5EF4-FFF2-40B4-BE49-F238E27FC236}">
              <a16:creationId xmlns:a16="http://schemas.microsoft.com/office/drawing/2014/main" id="{5DCAFAB6-B62C-4200-BFB4-B2D5C51A6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7" name="Picture 1" descr="ALMASHRI_0">
          <a:extLst>
            <a:ext uri="{FF2B5EF4-FFF2-40B4-BE49-F238E27FC236}">
              <a16:creationId xmlns:a16="http://schemas.microsoft.com/office/drawing/2014/main" id="{E2738346-8754-4537-B172-594000D1D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8" name="Picture 1" descr="ALMASHRI_0">
          <a:extLst>
            <a:ext uri="{FF2B5EF4-FFF2-40B4-BE49-F238E27FC236}">
              <a16:creationId xmlns:a16="http://schemas.microsoft.com/office/drawing/2014/main" id="{DCE23C57-5295-4E32-9066-D338D11CC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19" name="Picture 1" descr="ALMASHRI_0">
          <a:extLst>
            <a:ext uri="{FF2B5EF4-FFF2-40B4-BE49-F238E27FC236}">
              <a16:creationId xmlns:a16="http://schemas.microsoft.com/office/drawing/2014/main" id="{5043A509-C597-4624-86E5-37DF9A90B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0" name="Picture 1" descr="ALMASHRI_0">
          <a:extLst>
            <a:ext uri="{FF2B5EF4-FFF2-40B4-BE49-F238E27FC236}">
              <a16:creationId xmlns:a16="http://schemas.microsoft.com/office/drawing/2014/main" id="{85AE6040-292F-4EB8-A684-434FD8FA9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1" name="Picture 1" descr="ALMASHRI_0">
          <a:extLst>
            <a:ext uri="{FF2B5EF4-FFF2-40B4-BE49-F238E27FC236}">
              <a16:creationId xmlns:a16="http://schemas.microsoft.com/office/drawing/2014/main" id="{F9110383-9CD9-485F-A36A-5299F53EC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2" name="Picture 1" descr="ALMASHRI_0">
          <a:extLst>
            <a:ext uri="{FF2B5EF4-FFF2-40B4-BE49-F238E27FC236}">
              <a16:creationId xmlns:a16="http://schemas.microsoft.com/office/drawing/2014/main" id="{91FC73F1-9FD4-4254-903E-5E86247BC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3" name="Picture 1" descr="ALMASHRI_0">
          <a:extLst>
            <a:ext uri="{FF2B5EF4-FFF2-40B4-BE49-F238E27FC236}">
              <a16:creationId xmlns:a16="http://schemas.microsoft.com/office/drawing/2014/main" id="{80726A47-7F1F-4A5C-9776-51AC19BBE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4" name="Picture 1" descr="ALMASHRI_0">
          <a:extLst>
            <a:ext uri="{FF2B5EF4-FFF2-40B4-BE49-F238E27FC236}">
              <a16:creationId xmlns:a16="http://schemas.microsoft.com/office/drawing/2014/main" id="{C00C4CB0-B1F8-4EE8-864D-4A8E5FA20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5" name="Picture 1" descr="ALMASHRI_0">
          <a:extLst>
            <a:ext uri="{FF2B5EF4-FFF2-40B4-BE49-F238E27FC236}">
              <a16:creationId xmlns:a16="http://schemas.microsoft.com/office/drawing/2014/main" id="{6C1A3EC4-9661-4B6A-AD57-A8FB1CAF4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6" name="Picture 1" descr="ALMASHRI_0">
          <a:extLst>
            <a:ext uri="{FF2B5EF4-FFF2-40B4-BE49-F238E27FC236}">
              <a16:creationId xmlns:a16="http://schemas.microsoft.com/office/drawing/2014/main" id="{DCF75165-11A0-4761-9091-B14550730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7" name="Picture 1" descr="ALMASHRI_0">
          <a:extLst>
            <a:ext uri="{FF2B5EF4-FFF2-40B4-BE49-F238E27FC236}">
              <a16:creationId xmlns:a16="http://schemas.microsoft.com/office/drawing/2014/main" id="{16F387E1-1496-4D4B-8DFE-2820503D5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8" name="Picture 1" descr="ALMASHRI_0">
          <a:extLst>
            <a:ext uri="{FF2B5EF4-FFF2-40B4-BE49-F238E27FC236}">
              <a16:creationId xmlns:a16="http://schemas.microsoft.com/office/drawing/2014/main" id="{486C552F-2658-43D4-8623-781DA1140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29" name="Picture 1" descr="ALMASHRI_0">
          <a:extLst>
            <a:ext uri="{FF2B5EF4-FFF2-40B4-BE49-F238E27FC236}">
              <a16:creationId xmlns:a16="http://schemas.microsoft.com/office/drawing/2014/main" id="{E5465841-A602-4706-B12D-C2AD96B20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30" name="Picture 1" descr="ALMASHRI_0">
          <a:extLst>
            <a:ext uri="{FF2B5EF4-FFF2-40B4-BE49-F238E27FC236}">
              <a16:creationId xmlns:a16="http://schemas.microsoft.com/office/drawing/2014/main" id="{70BFDB04-ADA6-40DF-AADE-29985801B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31" name="Picture 1" descr="ALMASHRI_0">
          <a:extLst>
            <a:ext uri="{FF2B5EF4-FFF2-40B4-BE49-F238E27FC236}">
              <a16:creationId xmlns:a16="http://schemas.microsoft.com/office/drawing/2014/main" id="{F1DC86FE-62C1-4D9C-81CB-E99590A1C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32" name="Picture 1" descr="ALMASHRI_0">
          <a:extLst>
            <a:ext uri="{FF2B5EF4-FFF2-40B4-BE49-F238E27FC236}">
              <a16:creationId xmlns:a16="http://schemas.microsoft.com/office/drawing/2014/main" id="{0C87AEAC-DB67-43DE-8954-00D930842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33" name="Picture 1" descr="ALMASHRI_0">
          <a:extLst>
            <a:ext uri="{FF2B5EF4-FFF2-40B4-BE49-F238E27FC236}">
              <a16:creationId xmlns:a16="http://schemas.microsoft.com/office/drawing/2014/main" id="{D55D0367-A851-4C1F-847D-E7E78057C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34" name="Picture 1" descr="ALMASHRI_0">
          <a:extLst>
            <a:ext uri="{FF2B5EF4-FFF2-40B4-BE49-F238E27FC236}">
              <a16:creationId xmlns:a16="http://schemas.microsoft.com/office/drawing/2014/main" id="{ECD0C236-C1EE-4855-A3FC-E908DA1EE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35" name="Picture 1" descr="ALMASHRI_0">
          <a:extLst>
            <a:ext uri="{FF2B5EF4-FFF2-40B4-BE49-F238E27FC236}">
              <a16:creationId xmlns:a16="http://schemas.microsoft.com/office/drawing/2014/main" id="{00050076-0630-4FA8-97FB-6661F176E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36" name="Picture 1535" descr="ALMASHRI_0">
          <a:extLst>
            <a:ext uri="{FF2B5EF4-FFF2-40B4-BE49-F238E27FC236}">
              <a16:creationId xmlns:a16="http://schemas.microsoft.com/office/drawing/2014/main" id="{114056C4-9A97-43B1-B06C-C886D940D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37" name="Picture 1" descr="ALMASHRI_0">
          <a:extLst>
            <a:ext uri="{FF2B5EF4-FFF2-40B4-BE49-F238E27FC236}">
              <a16:creationId xmlns:a16="http://schemas.microsoft.com/office/drawing/2014/main" id="{70994DD8-B8CB-4641-93B6-069A81E31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38" name="Picture 1" descr="ALMASHRI_0">
          <a:extLst>
            <a:ext uri="{FF2B5EF4-FFF2-40B4-BE49-F238E27FC236}">
              <a16:creationId xmlns:a16="http://schemas.microsoft.com/office/drawing/2014/main" id="{8CCE8C2F-9A18-47F3-937F-9F7C2EA6C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39" name="Picture 1" descr="ALMASHRI_0">
          <a:extLst>
            <a:ext uri="{FF2B5EF4-FFF2-40B4-BE49-F238E27FC236}">
              <a16:creationId xmlns:a16="http://schemas.microsoft.com/office/drawing/2014/main" id="{E6FDCACF-B7BD-460E-94F3-4D2B9E1E1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0" name="Picture 1" descr="ALMASHRI_0">
          <a:extLst>
            <a:ext uri="{FF2B5EF4-FFF2-40B4-BE49-F238E27FC236}">
              <a16:creationId xmlns:a16="http://schemas.microsoft.com/office/drawing/2014/main" id="{F38B0BFB-A1E4-4F54-B9D4-ED68CEABA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1" name="Picture 1" descr="ALMASHRI_0">
          <a:extLst>
            <a:ext uri="{FF2B5EF4-FFF2-40B4-BE49-F238E27FC236}">
              <a16:creationId xmlns:a16="http://schemas.microsoft.com/office/drawing/2014/main" id="{FF8C3C95-8935-4226-8A6B-4B57323CA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2" name="Picture 1" descr="ALMASHRI_0">
          <a:extLst>
            <a:ext uri="{FF2B5EF4-FFF2-40B4-BE49-F238E27FC236}">
              <a16:creationId xmlns:a16="http://schemas.microsoft.com/office/drawing/2014/main" id="{DF837831-9235-465A-8E46-72FBE2797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3" name="Picture 1" descr="ALMASHRI_0">
          <a:extLst>
            <a:ext uri="{FF2B5EF4-FFF2-40B4-BE49-F238E27FC236}">
              <a16:creationId xmlns:a16="http://schemas.microsoft.com/office/drawing/2014/main" id="{2732BEBD-7C50-4D63-BA27-38152100C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4" name="Picture 1" descr="ALMASHRI_0">
          <a:extLst>
            <a:ext uri="{FF2B5EF4-FFF2-40B4-BE49-F238E27FC236}">
              <a16:creationId xmlns:a16="http://schemas.microsoft.com/office/drawing/2014/main" id="{DA0A7A65-1F58-4786-9F69-5F23BE73A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5" name="Picture 1" descr="ALMASHRI_0">
          <a:extLst>
            <a:ext uri="{FF2B5EF4-FFF2-40B4-BE49-F238E27FC236}">
              <a16:creationId xmlns:a16="http://schemas.microsoft.com/office/drawing/2014/main" id="{E0F0AD70-7822-4863-A84C-6A4C755F4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6" name="Picture 1" descr="ALMASHRI_0">
          <a:extLst>
            <a:ext uri="{FF2B5EF4-FFF2-40B4-BE49-F238E27FC236}">
              <a16:creationId xmlns:a16="http://schemas.microsoft.com/office/drawing/2014/main" id="{8DCB874F-589A-457F-AC94-C40AE4890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7" name="Picture 1" descr="ALMASHRI_0">
          <a:extLst>
            <a:ext uri="{FF2B5EF4-FFF2-40B4-BE49-F238E27FC236}">
              <a16:creationId xmlns:a16="http://schemas.microsoft.com/office/drawing/2014/main" id="{B2237B17-7183-4E30-88A3-6E57FFF22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8" name="Picture 1" descr="ALMASHRI_0">
          <a:extLst>
            <a:ext uri="{FF2B5EF4-FFF2-40B4-BE49-F238E27FC236}">
              <a16:creationId xmlns:a16="http://schemas.microsoft.com/office/drawing/2014/main" id="{8459C052-D70B-4F0E-90B1-60B654177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49" name="Picture 1" descr="ALMASHRI_0">
          <a:extLst>
            <a:ext uri="{FF2B5EF4-FFF2-40B4-BE49-F238E27FC236}">
              <a16:creationId xmlns:a16="http://schemas.microsoft.com/office/drawing/2014/main" id="{54185136-12A7-49C4-AC85-B3F282640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50" name="Picture 1" descr="ALMASHRI_0">
          <a:extLst>
            <a:ext uri="{FF2B5EF4-FFF2-40B4-BE49-F238E27FC236}">
              <a16:creationId xmlns:a16="http://schemas.microsoft.com/office/drawing/2014/main" id="{BCD6766E-0996-4A28-9C3F-584E3213D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551" name="Picture 1" descr="ALMASHRI_0">
          <a:extLst>
            <a:ext uri="{FF2B5EF4-FFF2-40B4-BE49-F238E27FC236}">
              <a16:creationId xmlns:a16="http://schemas.microsoft.com/office/drawing/2014/main" id="{B483727F-8384-4F40-A361-B34364D17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52" name="Picture 1" descr="ALMASHRI_0">
          <a:extLst>
            <a:ext uri="{FF2B5EF4-FFF2-40B4-BE49-F238E27FC236}">
              <a16:creationId xmlns:a16="http://schemas.microsoft.com/office/drawing/2014/main" id="{A11F0DED-DB1F-48F7-9CFF-DCFE1EDC1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53" name="Picture 1" descr="ALMASHRI_0">
          <a:extLst>
            <a:ext uri="{FF2B5EF4-FFF2-40B4-BE49-F238E27FC236}">
              <a16:creationId xmlns:a16="http://schemas.microsoft.com/office/drawing/2014/main" id="{BA08B214-D6EA-4931-8707-EB8EEE3BB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54" name="Picture 1" descr="ALMASHRI_0">
          <a:extLst>
            <a:ext uri="{FF2B5EF4-FFF2-40B4-BE49-F238E27FC236}">
              <a16:creationId xmlns:a16="http://schemas.microsoft.com/office/drawing/2014/main" id="{2D10DED7-F403-44FF-BC2E-FFA1EEA7C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55" name="Picture 1" descr="ALMASHRI_0">
          <a:extLst>
            <a:ext uri="{FF2B5EF4-FFF2-40B4-BE49-F238E27FC236}">
              <a16:creationId xmlns:a16="http://schemas.microsoft.com/office/drawing/2014/main" id="{5FA90E2D-EE30-4C78-9B1C-49F7C22B5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56" name="Picture 1" descr="ALMASHRI_0">
          <a:extLst>
            <a:ext uri="{FF2B5EF4-FFF2-40B4-BE49-F238E27FC236}">
              <a16:creationId xmlns:a16="http://schemas.microsoft.com/office/drawing/2014/main" id="{4BF7CFF1-2909-42C6-B090-20C35CDA1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57" name="Picture 1" descr="ALMASHRI_0">
          <a:extLst>
            <a:ext uri="{FF2B5EF4-FFF2-40B4-BE49-F238E27FC236}">
              <a16:creationId xmlns:a16="http://schemas.microsoft.com/office/drawing/2014/main" id="{E44CA800-7D39-40E0-905E-FF0D518C6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58" name="Picture 1" descr="ALMASHRI_0">
          <a:extLst>
            <a:ext uri="{FF2B5EF4-FFF2-40B4-BE49-F238E27FC236}">
              <a16:creationId xmlns:a16="http://schemas.microsoft.com/office/drawing/2014/main" id="{52D46EC7-5E99-4B6A-880A-15C39F409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59" name="Picture 1" descr="ALMASHRI_0">
          <a:extLst>
            <a:ext uri="{FF2B5EF4-FFF2-40B4-BE49-F238E27FC236}">
              <a16:creationId xmlns:a16="http://schemas.microsoft.com/office/drawing/2014/main" id="{2F33DF9D-65E7-4A8B-AFE0-C685E27C4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60" name="Picture 1" descr="ALMASHRI_0">
          <a:extLst>
            <a:ext uri="{FF2B5EF4-FFF2-40B4-BE49-F238E27FC236}">
              <a16:creationId xmlns:a16="http://schemas.microsoft.com/office/drawing/2014/main" id="{586AE514-C7AB-4A64-8479-FC474D337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61" name="Picture 1" descr="ALMASHRI_0">
          <a:extLst>
            <a:ext uri="{FF2B5EF4-FFF2-40B4-BE49-F238E27FC236}">
              <a16:creationId xmlns:a16="http://schemas.microsoft.com/office/drawing/2014/main" id="{E49B087E-7FCC-487A-83FD-76F3EFB43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62" name="Picture 1" descr="ALMASHRI_0">
          <a:extLst>
            <a:ext uri="{FF2B5EF4-FFF2-40B4-BE49-F238E27FC236}">
              <a16:creationId xmlns:a16="http://schemas.microsoft.com/office/drawing/2014/main" id="{AD449701-949B-4B0E-8C85-C8087068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63" name="Picture 1" descr="ALMASHRI_0">
          <a:extLst>
            <a:ext uri="{FF2B5EF4-FFF2-40B4-BE49-F238E27FC236}">
              <a16:creationId xmlns:a16="http://schemas.microsoft.com/office/drawing/2014/main" id="{7CAF92D4-FDA7-470B-A229-F10CA7D9E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64" name="Picture 1" descr="ALMASHRI_0">
          <a:extLst>
            <a:ext uri="{FF2B5EF4-FFF2-40B4-BE49-F238E27FC236}">
              <a16:creationId xmlns:a16="http://schemas.microsoft.com/office/drawing/2014/main" id="{8B203A3F-F79A-491D-8214-4764FD775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65" name="Picture 1" descr="ALMASHRI_0">
          <a:extLst>
            <a:ext uri="{FF2B5EF4-FFF2-40B4-BE49-F238E27FC236}">
              <a16:creationId xmlns:a16="http://schemas.microsoft.com/office/drawing/2014/main" id="{51A3BE69-69A9-42DA-AC8F-8C0C21398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66" name="Picture 1" descr="ALMASHRI_0">
          <a:extLst>
            <a:ext uri="{FF2B5EF4-FFF2-40B4-BE49-F238E27FC236}">
              <a16:creationId xmlns:a16="http://schemas.microsoft.com/office/drawing/2014/main" id="{FC691F02-80B9-4E68-8E0F-E1F228476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567" name="Picture 1" descr="ALMASHRI_0">
          <a:extLst>
            <a:ext uri="{FF2B5EF4-FFF2-40B4-BE49-F238E27FC236}">
              <a16:creationId xmlns:a16="http://schemas.microsoft.com/office/drawing/2014/main" id="{9D443449-1CCE-41C8-9886-1F7C96888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68" name="Picture 1" descr="ALMASHRI_0">
          <a:extLst>
            <a:ext uri="{FF2B5EF4-FFF2-40B4-BE49-F238E27FC236}">
              <a16:creationId xmlns:a16="http://schemas.microsoft.com/office/drawing/2014/main" id="{29B9EBA7-E550-481E-938E-343C31B81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69" name="Picture 1" descr="ALMASHRI_0">
          <a:extLst>
            <a:ext uri="{FF2B5EF4-FFF2-40B4-BE49-F238E27FC236}">
              <a16:creationId xmlns:a16="http://schemas.microsoft.com/office/drawing/2014/main" id="{51A37590-839C-4256-BDDC-303903F7E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0" name="Picture 1" descr="ALMASHRI_0">
          <a:extLst>
            <a:ext uri="{FF2B5EF4-FFF2-40B4-BE49-F238E27FC236}">
              <a16:creationId xmlns:a16="http://schemas.microsoft.com/office/drawing/2014/main" id="{108872C6-ACBE-4D8A-8D3A-BF8825087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1" name="Picture 1" descr="ALMASHRI_0">
          <a:extLst>
            <a:ext uri="{FF2B5EF4-FFF2-40B4-BE49-F238E27FC236}">
              <a16:creationId xmlns:a16="http://schemas.microsoft.com/office/drawing/2014/main" id="{FE95655F-F9A8-4CF6-9965-BE1E59E6A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2" name="Picture 1" descr="ALMASHRI_0">
          <a:extLst>
            <a:ext uri="{FF2B5EF4-FFF2-40B4-BE49-F238E27FC236}">
              <a16:creationId xmlns:a16="http://schemas.microsoft.com/office/drawing/2014/main" id="{D435EB7E-044B-4089-A7E4-4348155F2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3" name="Picture 1" descr="ALMASHRI_0">
          <a:extLst>
            <a:ext uri="{FF2B5EF4-FFF2-40B4-BE49-F238E27FC236}">
              <a16:creationId xmlns:a16="http://schemas.microsoft.com/office/drawing/2014/main" id="{E7932819-0B79-455C-94FA-F0B0CE810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4" name="Picture 1" descr="ALMASHRI_0">
          <a:extLst>
            <a:ext uri="{FF2B5EF4-FFF2-40B4-BE49-F238E27FC236}">
              <a16:creationId xmlns:a16="http://schemas.microsoft.com/office/drawing/2014/main" id="{A1A938F2-8513-46EE-B05C-E8AD4F38C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5" name="Picture 1" descr="ALMASHRI_0">
          <a:extLst>
            <a:ext uri="{FF2B5EF4-FFF2-40B4-BE49-F238E27FC236}">
              <a16:creationId xmlns:a16="http://schemas.microsoft.com/office/drawing/2014/main" id="{DD7613BC-412F-41FA-B1A8-31F2A9533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6" name="Picture 1" descr="ALMASHRI_0">
          <a:extLst>
            <a:ext uri="{FF2B5EF4-FFF2-40B4-BE49-F238E27FC236}">
              <a16:creationId xmlns:a16="http://schemas.microsoft.com/office/drawing/2014/main" id="{4F769997-11C8-4CCB-BEDE-438BB6A4B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7" name="Picture 1" descr="ALMASHRI_0">
          <a:extLst>
            <a:ext uri="{FF2B5EF4-FFF2-40B4-BE49-F238E27FC236}">
              <a16:creationId xmlns:a16="http://schemas.microsoft.com/office/drawing/2014/main" id="{8CAE41A0-2E02-41A5-A72B-F9F2F6205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8" name="Picture 1" descr="ALMASHRI_0">
          <a:extLst>
            <a:ext uri="{FF2B5EF4-FFF2-40B4-BE49-F238E27FC236}">
              <a16:creationId xmlns:a16="http://schemas.microsoft.com/office/drawing/2014/main" id="{D073F178-5909-4B3A-8DF3-666CBF579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79" name="Picture 1" descr="ALMASHRI_0">
          <a:extLst>
            <a:ext uri="{FF2B5EF4-FFF2-40B4-BE49-F238E27FC236}">
              <a16:creationId xmlns:a16="http://schemas.microsoft.com/office/drawing/2014/main" id="{B39F3CE6-A2F5-4BDA-854E-88356D38B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80" name="Picture 1" descr="ALMASHRI_0">
          <a:extLst>
            <a:ext uri="{FF2B5EF4-FFF2-40B4-BE49-F238E27FC236}">
              <a16:creationId xmlns:a16="http://schemas.microsoft.com/office/drawing/2014/main" id="{748E9C94-53D0-4C62-A26E-6F9BC4BC8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81" name="Picture 1" descr="ALMASHRI_0">
          <a:extLst>
            <a:ext uri="{FF2B5EF4-FFF2-40B4-BE49-F238E27FC236}">
              <a16:creationId xmlns:a16="http://schemas.microsoft.com/office/drawing/2014/main" id="{45BA34CF-B903-483B-A1AC-D6E324750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82" name="Picture 1" descr="ALMASHRI_0">
          <a:extLst>
            <a:ext uri="{FF2B5EF4-FFF2-40B4-BE49-F238E27FC236}">
              <a16:creationId xmlns:a16="http://schemas.microsoft.com/office/drawing/2014/main" id="{253F17A0-CC33-45E1-A1E2-E75F70BAB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583" name="Picture 1" descr="ALMASHRI_0">
          <a:extLst>
            <a:ext uri="{FF2B5EF4-FFF2-40B4-BE49-F238E27FC236}">
              <a16:creationId xmlns:a16="http://schemas.microsoft.com/office/drawing/2014/main" id="{F311F06C-9F28-4C4E-A1F7-0D218607F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84" name="Picture 1" descr="ALMASHRI_0">
          <a:extLst>
            <a:ext uri="{FF2B5EF4-FFF2-40B4-BE49-F238E27FC236}">
              <a16:creationId xmlns:a16="http://schemas.microsoft.com/office/drawing/2014/main" id="{73F56F42-E2BD-4958-A34A-22E222629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85" name="Picture 1" descr="ALMASHRI_0">
          <a:extLst>
            <a:ext uri="{FF2B5EF4-FFF2-40B4-BE49-F238E27FC236}">
              <a16:creationId xmlns:a16="http://schemas.microsoft.com/office/drawing/2014/main" id="{FA65F915-3421-4C51-9107-B69839CFC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86" name="Picture 1" descr="ALMASHRI_0">
          <a:extLst>
            <a:ext uri="{FF2B5EF4-FFF2-40B4-BE49-F238E27FC236}">
              <a16:creationId xmlns:a16="http://schemas.microsoft.com/office/drawing/2014/main" id="{F08FAD07-2245-4FC6-970F-264ED398C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87" name="Picture 1" descr="ALMASHRI_0">
          <a:extLst>
            <a:ext uri="{FF2B5EF4-FFF2-40B4-BE49-F238E27FC236}">
              <a16:creationId xmlns:a16="http://schemas.microsoft.com/office/drawing/2014/main" id="{50FB4325-EA07-492C-857F-FB78AE743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88" name="Picture 1" descr="ALMASHRI_0">
          <a:extLst>
            <a:ext uri="{FF2B5EF4-FFF2-40B4-BE49-F238E27FC236}">
              <a16:creationId xmlns:a16="http://schemas.microsoft.com/office/drawing/2014/main" id="{CF9596BC-42F7-493D-AC5B-2B60060BF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89" name="Picture 1" descr="ALMASHRI_0">
          <a:extLst>
            <a:ext uri="{FF2B5EF4-FFF2-40B4-BE49-F238E27FC236}">
              <a16:creationId xmlns:a16="http://schemas.microsoft.com/office/drawing/2014/main" id="{79BEB22B-AC30-4365-9BEF-1340E0B5A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0" name="Picture 1" descr="ALMASHRI_0">
          <a:extLst>
            <a:ext uri="{FF2B5EF4-FFF2-40B4-BE49-F238E27FC236}">
              <a16:creationId xmlns:a16="http://schemas.microsoft.com/office/drawing/2014/main" id="{DA9221D3-D754-47E7-B77F-5C48C4564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1" name="Picture 1" descr="ALMASHRI_0">
          <a:extLst>
            <a:ext uri="{FF2B5EF4-FFF2-40B4-BE49-F238E27FC236}">
              <a16:creationId xmlns:a16="http://schemas.microsoft.com/office/drawing/2014/main" id="{25022045-989F-4A55-A961-EA0D431D6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2" name="Picture 1" descr="ALMASHRI_0">
          <a:extLst>
            <a:ext uri="{FF2B5EF4-FFF2-40B4-BE49-F238E27FC236}">
              <a16:creationId xmlns:a16="http://schemas.microsoft.com/office/drawing/2014/main" id="{C26CAD6E-E755-44F9-BD56-C7FE7BC8A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3" name="Picture 1" descr="ALMASHRI_0">
          <a:extLst>
            <a:ext uri="{FF2B5EF4-FFF2-40B4-BE49-F238E27FC236}">
              <a16:creationId xmlns:a16="http://schemas.microsoft.com/office/drawing/2014/main" id="{AEBC2074-1CFF-4D5C-834B-9D2D4925F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4" name="Picture 1" descr="ALMASHRI_0">
          <a:extLst>
            <a:ext uri="{FF2B5EF4-FFF2-40B4-BE49-F238E27FC236}">
              <a16:creationId xmlns:a16="http://schemas.microsoft.com/office/drawing/2014/main" id="{DBF74990-63D2-4464-91F9-0F9212F23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5" name="Picture 1" descr="ALMASHRI_0">
          <a:extLst>
            <a:ext uri="{FF2B5EF4-FFF2-40B4-BE49-F238E27FC236}">
              <a16:creationId xmlns:a16="http://schemas.microsoft.com/office/drawing/2014/main" id="{7909DE3A-0DE1-4A70-A1DD-EB9306567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6" name="Picture 1" descr="ALMASHRI_0">
          <a:extLst>
            <a:ext uri="{FF2B5EF4-FFF2-40B4-BE49-F238E27FC236}">
              <a16:creationId xmlns:a16="http://schemas.microsoft.com/office/drawing/2014/main" id="{08CC8071-22A7-4B78-B520-C8F86DF23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7" name="Picture 1" descr="ALMASHRI_0">
          <a:extLst>
            <a:ext uri="{FF2B5EF4-FFF2-40B4-BE49-F238E27FC236}">
              <a16:creationId xmlns:a16="http://schemas.microsoft.com/office/drawing/2014/main" id="{98FA1E51-5B7D-4789-8FF5-3284A6162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8" name="Picture 1" descr="ALMASHRI_0">
          <a:extLst>
            <a:ext uri="{FF2B5EF4-FFF2-40B4-BE49-F238E27FC236}">
              <a16:creationId xmlns:a16="http://schemas.microsoft.com/office/drawing/2014/main" id="{1F2A3BC1-0B83-4C30-A82E-C1AE0D761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599" name="Picture 1" descr="ALMASHRI_0">
          <a:extLst>
            <a:ext uri="{FF2B5EF4-FFF2-40B4-BE49-F238E27FC236}">
              <a16:creationId xmlns:a16="http://schemas.microsoft.com/office/drawing/2014/main" id="{6FD30ABC-02C6-4FD7-BFB9-86D068866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0" name="Picture 1" descr="ALMASHRI_0">
          <a:extLst>
            <a:ext uri="{FF2B5EF4-FFF2-40B4-BE49-F238E27FC236}">
              <a16:creationId xmlns:a16="http://schemas.microsoft.com/office/drawing/2014/main" id="{39CE35A8-AFC1-4FE6-862B-516976683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1" name="Picture 1" descr="ALMASHRI_0">
          <a:extLst>
            <a:ext uri="{FF2B5EF4-FFF2-40B4-BE49-F238E27FC236}">
              <a16:creationId xmlns:a16="http://schemas.microsoft.com/office/drawing/2014/main" id="{2768B869-F64A-4923-A64D-E7DF516C4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2" name="Picture 1" descr="ALMASHRI_0">
          <a:extLst>
            <a:ext uri="{FF2B5EF4-FFF2-40B4-BE49-F238E27FC236}">
              <a16:creationId xmlns:a16="http://schemas.microsoft.com/office/drawing/2014/main" id="{F166A520-666D-48B2-9378-51F1E6DA9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3" name="Picture 1" descr="ALMASHRI_0">
          <a:extLst>
            <a:ext uri="{FF2B5EF4-FFF2-40B4-BE49-F238E27FC236}">
              <a16:creationId xmlns:a16="http://schemas.microsoft.com/office/drawing/2014/main" id="{243BA7B4-652F-4217-BBDA-9196E1FCF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4" name="Picture 1" descr="ALMASHRI_0">
          <a:extLst>
            <a:ext uri="{FF2B5EF4-FFF2-40B4-BE49-F238E27FC236}">
              <a16:creationId xmlns:a16="http://schemas.microsoft.com/office/drawing/2014/main" id="{6F777178-A7C0-4760-BDE7-AEEE16CBB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5" name="Picture 1" descr="ALMASHRI_0">
          <a:extLst>
            <a:ext uri="{FF2B5EF4-FFF2-40B4-BE49-F238E27FC236}">
              <a16:creationId xmlns:a16="http://schemas.microsoft.com/office/drawing/2014/main" id="{823C2456-3C2C-4230-BFD8-8BE0614CA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6" name="Picture 1" descr="ALMASHRI_0">
          <a:extLst>
            <a:ext uri="{FF2B5EF4-FFF2-40B4-BE49-F238E27FC236}">
              <a16:creationId xmlns:a16="http://schemas.microsoft.com/office/drawing/2014/main" id="{1B720BBB-2658-44F2-B41D-FCA9E31D4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7" name="Picture 1" descr="ALMASHRI_0">
          <a:extLst>
            <a:ext uri="{FF2B5EF4-FFF2-40B4-BE49-F238E27FC236}">
              <a16:creationId xmlns:a16="http://schemas.microsoft.com/office/drawing/2014/main" id="{2080D9AA-0E37-453A-BC59-DF311E223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8" name="Picture 1" descr="ALMASHRI_0">
          <a:extLst>
            <a:ext uri="{FF2B5EF4-FFF2-40B4-BE49-F238E27FC236}">
              <a16:creationId xmlns:a16="http://schemas.microsoft.com/office/drawing/2014/main" id="{638BE9FA-6130-4048-8FE7-49955C9CD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09" name="Picture 1" descr="ALMASHRI_0">
          <a:extLst>
            <a:ext uri="{FF2B5EF4-FFF2-40B4-BE49-F238E27FC236}">
              <a16:creationId xmlns:a16="http://schemas.microsoft.com/office/drawing/2014/main" id="{F7663546-8494-47A5-B00F-704705D68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10" name="Picture 1" descr="ALMASHRI_0">
          <a:extLst>
            <a:ext uri="{FF2B5EF4-FFF2-40B4-BE49-F238E27FC236}">
              <a16:creationId xmlns:a16="http://schemas.microsoft.com/office/drawing/2014/main" id="{D33C298F-69D3-42D0-A8FA-B8F86B458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11" name="Picture 1" descr="ALMASHRI_0">
          <a:extLst>
            <a:ext uri="{FF2B5EF4-FFF2-40B4-BE49-F238E27FC236}">
              <a16:creationId xmlns:a16="http://schemas.microsoft.com/office/drawing/2014/main" id="{6CACB359-4AD9-495A-855F-7B751209B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12" name="Picture 1" descr="ALMASHRI_0">
          <a:extLst>
            <a:ext uri="{FF2B5EF4-FFF2-40B4-BE49-F238E27FC236}">
              <a16:creationId xmlns:a16="http://schemas.microsoft.com/office/drawing/2014/main" id="{380B4AC9-2323-4689-B9E7-C331E153E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13" name="Picture 1" descr="ALMASHRI_0">
          <a:extLst>
            <a:ext uri="{FF2B5EF4-FFF2-40B4-BE49-F238E27FC236}">
              <a16:creationId xmlns:a16="http://schemas.microsoft.com/office/drawing/2014/main" id="{D562C985-25FC-45F2-AEFF-823C0F165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14" name="Picture 1" descr="ALMASHRI_0">
          <a:extLst>
            <a:ext uri="{FF2B5EF4-FFF2-40B4-BE49-F238E27FC236}">
              <a16:creationId xmlns:a16="http://schemas.microsoft.com/office/drawing/2014/main" id="{DECC85E5-78D9-4B40-AF9B-4742EC43E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615" name="Picture 1" descr="ALMASHRI_0">
          <a:extLst>
            <a:ext uri="{FF2B5EF4-FFF2-40B4-BE49-F238E27FC236}">
              <a16:creationId xmlns:a16="http://schemas.microsoft.com/office/drawing/2014/main" id="{98FE6411-7875-47DD-8280-1BBFA6CD9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16" name="Picture 1" descr="ALMASHRI_0">
          <a:extLst>
            <a:ext uri="{FF2B5EF4-FFF2-40B4-BE49-F238E27FC236}">
              <a16:creationId xmlns:a16="http://schemas.microsoft.com/office/drawing/2014/main" id="{0174DB32-1AF7-4D4C-B516-6AD238128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17" name="Picture 1" descr="ALMASHRI_0">
          <a:extLst>
            <a:ext uri="{FF2B5EF4-FFF2-40B4-BE49-F238E27FC236}">
              <a16:creationId xmlns:a16="http://schemas.microsoft.com/office/drawing/2014/main" id="{F522574D-3339-4400-AD00-58BA9BA51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18" name="Picture 1" descr="ALMASHRI_0">
          <a:extLst>
            <a:ext uri="{FF2B5EF4-FFF2-40B4-BE49-F238E27FC236}">
              <a16:creationId xmlns:a16="http://schemas.microsoft.com/office/drawing/2014/main" id="{D6FB19FE-6E20-400E-B3DB-7CB60E32E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19" name="Picture 1" descr="ALMASHRI_0">
          <a:extLst>
            <a:ext uri="{FF2B5EF4-FFF2-40B4-BE49-F238E27FC236}">
              <a16:creationId xmlns:a16="http://schemas.microsoft.com/office/drawing/2014/main" id="{1AAD18BF-A045-4105-9465-475876297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0" name="Picture 1" descr="ALMASHRI_0">
          <a:extLst>
            <a:ext uri="{FF2B5EF4-FFF2-40B4-BE49-F238E27FC236}">
              <a16:creationId xmlns:a16="http://schemas.microsoft.com/office/drawing/2014/main" id="{F03A23C0-C383-4BB4-AD4A-38AC27F5D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1" name="Picture 1" descr="ALMASHRI_0">
          <a:extLst>
            <a:ext uri="{FF2B5EF4-FFF2-40B4-BE49-F238E27FC236}">
              <a16:creationId xmlns:a16="http://schemas.microsoft.com/office/drawing/2014/main" id="{B09C7BCE-351F-446F-93D6-20EB73C43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2" name="Picture 1" descr="ALMASHRI_0">
          <a:extLst>
            <a:ext uri="{FF2B5EF4-FFF2-40B4-BE49-F238E27FC236}">
              <a16:creationId xmlns:a16="http://schemas.microsoft.com/office/drawing/2014/main" id="{E0F8C9A8-E417-4747-8B73-BEB8C6294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3" name="Picture 1" descr="ALMASHRI_0">
          <a:extLst>
            <a:ext uri="{FF2B5EF4-FFF2-40B4-BE49-F238E27FC236}">
              <a16:creationId xmlns:a16="http://schemas.microsoft.com/office/drawing/2014/main" id="{4EFB2D85-9363-4AD4-A99B-4D1FF9A2D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4" name="Picture 1" descr="ALMASHRI_0">
          <a:extLst>
            <a:ext uri="{FF2B5EF4-FFF2-40B4-BE49-F238E27FC236}">
              <a16:creationId xmlns:a16="http://schemas.microsoft.com/office/drawing/2014/main" id="{53E1509D-D3AD-4ECA-8F52-ABE05AA63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5" name="Picture 1" descr="ALMASHRI_0">
          <a:extLst>
            <a:ext uri="{FF2B5EF4-FFF2-40B4-BE49-F238E27FC236}">
              <a16:creationId xmlns:a16="http://schemas.microsoft.com/office/drawing/2014/main" id="{B755D4C3-62DC-4766-9684-92C053115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6" name="Picture 1" descr="ALMASHRI_0">
          <a:extLst>
            <a:ext uri="{FF2B5EF4-FFF2-40B4-BE49-F238E27FC236}">
              <a16:creationId xmlns:a16="http://schemas.microsoft.com/office/drawing/2014/main" id="{DEC24DAC-4B6B-4CFD-8CA7-093195D83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7" name="Picture 1" descr="ALMASHRI_0">
          <a:extLst>
            <a:ext uri="{FF2B5EF4-FFF2-40B4-BE49-F238E27FC236}">
              <a16:creationId xmlns:a16="http://schemas.microsoft.com/office/drawing/2014/main" id="{175A20F6-DA03-427C-A9EF-0978C684C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8" name="Picture 1" descr="ALMASHRI_0">
          <a:extLst>
            <a:ext uri="{FF2B5EF4-FFF2-40B4-BE49-F238E27FC236}">
              <a16:creationId xmlns:a16="http://schemas.microsoft.com/office/drawing/2014/main" id="{5E36DCC8-822F-4186-9DC9-062CE4A70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29" name="Picture 1" descr="ALMASHRI_0">
          <a:extLst>
            <a:ext uri="{FF2B5EF4-FFF2-40B4-BE49-F238E27FC236}">
              <a16:creationId xmlns:a16="http://schemas.microsoft.com/office/drawing/2014/main" id="{D2E56F6F-7334-4A26-858F-2CF59DC26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30" name="Picture 1" descr="ALMASHRI_0">
          <a:extLst>
            <a:ext uri="{FF2B5EF4-FFF2-40B4-BE49-F238E27FC236}">
              <a16:creationId xmlns:a16="http://schemas.microsoft.com/office/drawing/2014/main" id="{21EE3E21-5F00-40B2-9EED-77E401C86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631" name="Picture 1" descr="ALMASHRI_0">
          <a:extLst>
            <a:ext uri="{FF2B5EF4-FFF2-40B4-BE49-F238E27FC236}">
              <a16:creationId xmlns:a16="http://schemas.microsoft.com/office/drawing/2014/main" id="{36CF3EE1-C4BA-4266-A31F-AF58F0476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32" name="Picture 1" descr="ALMASHRI_0">
          <a:extLst>
            <a:ext uri="{FF2B5EF4-FFF2-40B4-BE49-F238E27FC236}">
              <a16:creationId xmlns:a16="http://schemas.microsoft.com/office/drawing/2014/main" id="{5580C106-A9E7-4F57-B033-78F0498B7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33" name="Picture 1" descr="ALMASHRI_0">
          <a:extLst>
            <a:ext uri="{FF2B5EF4-FFF2-40B4-BE49-F238E27FC236}">
              <a16:creationId xmlns:a16="http://schemas.microsoft.com/office/drawing/2014/main" id="{4A6A7A43-2281-442B-8A7A-E15392958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34" name="Picture 1" descr="ALMASHRI_0">
          <a:extLst>
            <a:ext uri="{FF2B5EF4-FFF2-40B4-BE49-F238E27FC236}">
              <a16:creationId xmlns:a16="http://schemas.microsoft.com/office/drawing/2014/main" id="{3EA7F603-9A0B-4B42-B6FD-3C939374E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35" name="Picture 1" descr="ALMASHRI_0">
          <a:extLst>
            <a:ext uri="{FF2B5EF4-FFF2-40B4-BE49-F238E27FC236}">
              <a16:creationId xmlns:a16="http://schemas.microsoft.com/office/drawing/2014/main" id="{4BAA4EE3-7DBB-4CE0-AC2C-621DF1E65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36" name="Picture 1" descr="ALMASHRI_0">
          <a:extLst>
            <a:ext uri="{FF2B5EF4-FFF2-40B4-BE49-F238E27FC236}">
              <a16:creationId xmlns:a16="http://schemas.microsoft.com/office/drawing/2014/main" id="{881BD5B9-10F8-4EA4-AC5D-056FF78B9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37" name="Picture 1" descr="ALMASHRI_0">
          <a:extLst>
            <a:ext uri="{FF2B5EF4-FFF2-40B4-BE49-F238E27FC236}">
              <a16:creationId xmlns:a16="http://schemas.microsoft.com/office/drawing/2014/main" id="{B6734F22-C632-4792-B3D5-0961C911B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38" name="Picture 1" descr="ALMASHRI_0">
          <a:extLst>
            <a:ext uri="{FF2B5EF4-FFF2-40B4-BE49-F238E27FC236}">
              <a16:creationId xmlns:a16="http://schemas.microsoft.com/office/drawing/2014/main" id="{21339944-0B2D-44FA-BDAD-EC1D28360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39" name="Picture 1" descr="ALMASHRI_0">
          <a:extLst>
            <a:ext uri="{FF2B5EF4-FFF2-40B4-BE49-F238E27FC236}">
              <a16:creationId xmlns:a16="http://schemas.microsoft.com/office/drawing/2014/main" id="{195057C9-5129-467E-9108-486BB2915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40" name="Picture 1" descr="ALMASHRI_0">
          <a:extLst>
            <a:ext uri="{FF2B5EF4-FFF2-40B4-BE49-F238E27FC236}">
              <a16:creationId xmlns:a16="http://schemas.microsoft.com/office/drawing/2014/main" id="{198D9636-F5E9-499C-9303-62E047C7F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41" name="Picture 1" descr="ALMASHRI_0">
          <a:extLst>
            <a:ext uri="{FF2B5EF4-FFF2-40B4-BE49-F238E27FC236}">
              <a16:creationId xmlns:a16="http://schemas.microsoft.com/office/drawing/2014/main" id="{564BF229-41D9-4841-A0AC-EC2019320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42" name="Picture 1" descr="ALMASHRI_0">
          <a:extLst>
            <a:ext uri="{FF2B5EF4-FFF2-40B4-BE49-F238E27FC236}">
              <a16:creationId xmlns:a16="http://schemas.microsoft.com/office/drawing/2014/main" id="{96AC30DC-B0BA-4630-B518-2F37DC533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43" name="Picture 1" descr="ALMASHRI_0">
          <a:extLst>
            <a:ext uri="{FF2B5EF4-FFF2-40B4-BE49-F238E27FC236}">
              <a16:creationId xmlns:a16="http://schemas.microsoft.com/office/drawing/2014/main" id="{E970EA52-B449-444D-AB2E-ACB9E7F37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44" name="Picture 1" descr="ALMASHRI_0">
          <a:extLst>
            <a:ext uri="{FF2B5EF4-FFF2-40B4-BE49-F238E27FC236}">
              <a16:creationId xmlns:a16="http://schemas.microsoft.com/office/drawing/2014/main" id="{2D1503FA-C03C-45BA-8F0A-290D41431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45" name="Picture 1" descr="ALMASHRI_0">
          <a:extLst>
            <a:ext uri="{FF2B5EF4-FFF2-40B4-BE49-F238E27FC236}">
              <a16:creationId xmlns:a16="http://schemas.microsoft.com/office/drawing/2014/main" id="{CD6A0A5F-DB57-4D08-81C8-B0FCB9CF7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46" name="Picture 1" descr="ALMASHRI_0">
          <a:extLst>
            <a:ext uri="{FF2B5EF4-FFF2-40B4-BE49-F238E27FC236}">
              <a16:creationId xmlns:a16="http://schemas.microsoft.com/office/drawing/2014/main" id="{9126C0FC-CA50-46AF-BF17-EB8876995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47" name="Picture 1" descr="ALMASHRI_0">
          <a:extLst>
            <a:ext uri="{FF2B5EF4-FFF2-40B4-BE49-F238E27FC236}">
              <a16:creationId xmlns:a16="http://schemas.microsoft.com/office/drawing/2014/main" id="{2A04B8F4-8E91-4DFA-A9BF-A50240F97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48" name="Picture 1" descr="ALMASHRI_0">
          <a:extLst>
            <a:ext uri="{FF2B5EF4-FFF2-40B4-BE49-F238E27FC236}">
              <a16:creationId xmlns:a16="http://schemas.microsoft.com/office/drawing/2014/main" id="{B56A8EC7-B0C5-425B-8142-66B8A5454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49" name="Picture 1" descr="ALMASHRI_0">
          <a:extLst>
            <a:ext uri="{FF2B5EF4-FFF2-40B4-BE49-F238E27FC236}">
              <a16:creationId xmlns:a16="http://schemas.microsoft.com/office/drawing/2014/main" id="{CE685685-384D-46D1-9C67-9ABAAC821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0" name="Picture 1" descr="ALMASHRI_0">
          <a:extLst>
            <a:ext uri="{FF2B5EF4-FFF2-40B4-BE49-F238E27FC236}">
              <a16:creationId xmlns:a16="http://schemas.microsoft.com/office/drawing/2014/main" id="{20B604FB-F717-470F-BF23-1CE1A07D5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1" name="Picture 1" descr="ALMASHRI_0">
          <a:extLst>
            <a:ext uri="{FF2B5EF4-FFF2-40B4-BE49-F238E27FC236}">
              <a16:creationId xmlns:a16="http://schemas.microsoft.com/office/drawing/2014/main" id="{3E0BC31D-CE66-42AA-9591-9806AD521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2" name="Picture 1" descr="ALMASHRI_0">
          <a:extLst>
            <a:ext uri="{FF2B5EF4-FFF2-40B4-BE49-F238E27FC236}">
              <a16:creationId xmlns:a16="http://schemas.microsoft.com/office/drawing/2014/main" id="{A3B3D024-8550-4A3C-A292-A465B0426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3" name="Picture 1" descr="ALMASHRI_0">
          <a:extLst>
            <a:ext uri="{FF2B5EF4-FFF2-40B4-BE49-F238E27FC236}">
              <a16:creationId xmlns:a16="http://schemas.microsoft.com/office/drawing/2014/main" id="{2DC7FA06-695C-4AFD-907E-278BAE15F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4" name="Picture 1" descr="ALMASHRI_0">
          <a:extLst>
            <a:ext uri="{FF2B5EF4-FFF2-40B4-BE49-F238E27FC236}">
              <a16:creationId xmlns:a16="http://schemas.microsoft.com/office/drawing/2014/main" id="{7475A917-6977-4DB7-A22E-8707D7D3D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5" name="Picture 1" descr="ALMASHRI_0">
          <a:extLst>
            <a:ext uri="{FF2B5EF4-FFF2-40B4-BE49-F238E27FC236}">
              <a16:creationId xmlns:a16="http://schemas.microsoft.com/office/drawing/2014/main" id="{B188F370-55A9-4AE3-8BCE-BD43D4680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6" name="Picture 1" descr="ALMASHRI_0">
          <a:extLst>
            <a:ext uri="{FF2B5EF4-FFF2-40B4-BE49-F238E27FC236}">
              <a16:creationId xmlns:a16="http://schemas.microsoft.com/office/drawing/2014/main" id="{6050CCBA-7280-4356-AD4E-45E9F9494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7" name="Picture 1" descr="ALMASHRI_0">
          <a:extLst>
            <a:ext uri="{FF2B5EF4-FFF2-40B4-BE49-F238E27FC236}">
              <a16:creationId xmlns:a16="http://schemas.microsoft.com/office/drawing/2014/main" id="{E2EFAECA-CBE8-4261-A8BD-7AD6BAE4D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8" name="Picture 1" descr="ALMASHRI_0">
          <a:extLst>
            <a:ext uri="{FF2B5EF4-FFF2-40B4-BE49-F238E27FC236}">
              <a16:creationId xmlns:a16="http://schemas.microsoft.com/office/drawing/2014/main" id="{5E545921-B73C-4AE7-B741-9FBDA3946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59" name="Picture 1" descr="ALMASHRI_0">
          <a:extLst>
            <a:ext uri="{FF2B5EF4-FFF2-40B4-BE49-F238E27FC236}">
              <a16:creationId xmlns:a16="http://schemas.microsoft.com/office/drawing/2014/main" id="{7C71606D-18A5-401F-B630-F8E13ED66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60" name="Picture 1" descr="ALMASHRI_0">
          <a:extLst>
            <a:ext uri="{FF2B5EF4-FFF2-40B4-BE49-F238E27FC236}">
              <a16:creationId xmlns:a16="http://schemas.microsoft.com/office/drawing/2014/main" id="{B3129888-6B07-49C4-BDC2-5D211D4EA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61" name="Picture 1" descr="ALMASHRI_0">
          <a:extLst>
            <a:ext uri="{FF2B5EF4-FFF2-40B4-BE49-F238E27FC236}">
              <a16:creationId xmlns:a16="http://schemas.microsoft.com/office/drawing/2014/main" id="{45A9C2B8-FC11-4900-B8B1-DFD9F892B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62" name="Picture 1" descr="ALMASHRI_0">
          <a:extLst>
            <a:ext uri="{FF2B5EF4-FFF2-40B4-BE49-F238E27FC236}">
              <a16:creationId xmlns:a16="http://schemas.microsoft.com/office/drawing/2014/main" id="{BF588E6E-321B-4353-A657-97B52EDF6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663" name="Picture 1" descr="ALMASHRI_0">
          <a:extLst>
            <a:ext uri="{FF2B5EF4-FFF2-40B4-BE49-F238E27FC236}">
              <a16:creationId xmlns:a16="http://schemas.microsoft.com/office/drawing/2014/main" id="{06C754AF-7FA3-4FE6-A26C-2D9CBDEFD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64" name="Picture 1" descr="ALMASHRI_0">
          <a:extLst>
            <a:ext uri="{FF2B5EF4-FFF2-40B4-BE49-F238E27FC236}">
              <a16:creationId xmlns:a16="http://schemas.microsoft.com/office/drawing/2014/main" id="{90A98773-9CC0-4298-B1BC-0B31487C2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65" name="Picture 1" descr="ALMASHRI_0">
          <a:extLst>
            <a:ext uri="{FF2B5EF4-FFF2-40B4-BE49-F238E27FC236}">
              <a16:creationId xmlns:a16="http://schemas.microsoft.com/office/drawing/2014/main" id="{32D51DCF-D4E3-4618-8991-EC6C3BD19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66" name="Picture 1" descr="ALMASHRI_0">
          <a:extLst>
            <a:ext uri="{FF2B5EF4-FFF2-40B4-BE49-F238E27FC236}">
              <a16:creationId xmlns:a16="http://schemas.microsoft.com/office/drawing/2014/main" id="{9142ECAC-E778-49FF-9403-BEA05C525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67" name="Picture 1" descr="ALMASHRI_0">
          <a:extLst>
            <a:ext uri="{FF2B5EF4-FFF2-40B4-BE49-F238E27FC236}">
              <a16:creationId xmlns:a16="http://schemas.microsoft.com/office/drawing/2014/main" id="{42F4C8A0-5AA7-42CC-AA80-E86BFD9B9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68" name="Picture 1" descr="ALMASHRI_0">
          <a:extLst>
            <a:ext uri="{FF2B5EF4-FFF2-40B4-BE49-F238E27FC236}">
              <a16:creationId xmlns:a16="http://schemas.microsoft.com/office/drawing/2014/main" id="{41031B5D-CAD8-49F8-B703-9207A4D2A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69" name="Picture 1" descr="ALMASHRI_0">
          <a:extLst>
            <a:ext uri="{FF2B5EF4-FFF2-40B4-BE49-F238E27FC236}">
              <a16:creationId xmlns:a16="http://schemas.microsoft.com/office/drawing/2014/main" id="{6C4E41F0-C002-414C-A5CB-1516721BC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0" name="Picture 1" descr="ALMASHRI_0">
          <a:extLst>
            <a:ext uri="{FF2B5EF4-FFF2-40B4-BE49-F238E27FC236}">
              <a16:creationId xmlns:a16="http://schemas.microsoft.com/office/drawing/2014/main" id="{3B5F957D-B870-4A5C-A46C-34D0E84E9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1" name="Picture 1" descr="ALMASHRI_0">
          <a:extLst>
            <a:ext uri="{FF2B5EF4-FFF2-40B4-BE49-F238E27FC236}">
              <a16:creationId xmlns:a16="http://schemas.microsoft.com/office/drawing/2014/main" id="{7BA495F3-4342-49BA-BFA8-D332A062A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2" name="Picture 1" descr="ALMASHRI_0">
          <a:extLst>
            <a:ext uri="{FF2B5EF4-FFF2-40B4-BE49-F238E27FC236}">
              <a16:creationId xmlns:a16="http://schemas.microsoft.com/office/drawing/2014/main" id="{DB988E4A-B6CD-49C9-AFAF-74AFD9DBC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3" name="Picture 1" descr="ALMASHRI_0">
          <a:extLst>
            <a:ext uri="{FF2B5EF4-FFF2-40B4-BE49-F238E27FC236}">
              <a16:creationId xmlns:a16="http://schemas.microsoft.com/office/drawing/2014/main" id="{02651ABA-717A-4779-8245-6D656C0AD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4" name="Picture 1" descr="ALMASHRI_0">
          <a:extLst>
            <a:ext uri="{FF2B5EF4-FFF2-40B4-BE49-F238E27FC236}">
              <a16:creationId xmlns:a16="http://schemas.microsoft.com/office/drawing/2014/main" id="{DCFA0575-72EF-4776-BCD4-B299437EA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5" name="Picture 1" descr="ALMASHRI_0">
          <a:extLst>
            <a:ext uri="{FF2B5EF4-FFF2-40B4-BE49-F238E27FC236}">
              <a16:creationId xmlns:a16="http://schemas.microsoft.com/office/drawing/2014/main" id="{54403003-A4D0-4624-A1F4-EF8D76A47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6" name="Picture 1" descr="ALMASHRI_0">
          <a:extLst>
            <a:ext uri="{FF2B5EF4-FFF2-40B4-BE49-F238E27FC236}">
              <a16:creationId xmlns:a16="http://schemas.microsoft.com/office/drawing/2014/main" id="{1C582C07-2EC1-4C73-8E24-D405DF540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7" name="Picture 1" descr="ALMASHRI_0">
          <a:extLst>
            <a:ext uri="{FF2B5EF4-FFF2-40B4-BE49-F238E27FC236}">
              <a16:creationId xmlns:a16="http://schemas.microsoft.com/office/drawing/2014/main" id="{1E668598-45BC-4C49-9182-C53559B73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8" name="Picture 1" descr="ALMASHRI_0">
          <a:extLst>
            <a:ext uri="{FF2B5EF4-FFF2-40B4-BE49-F238E27FC236}">
              <a16:creationId xmlns:a16="http://schemas.microsoft.com/office/drawing/2014/main" id="{02436273-107E-4EAF-9D10-4DD987A2E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679" name="Picture 1" descr="ALMASHRI_0">
          <a:extLst>
            <a:ext uri="{FF2B5EF4-FFF2-40B4-BE49-F238E27FC236}">
              <a16:creationId xmlns:a16="http://schemas.microsoft.com/office/drawing/2014/main" id="{2E11AF0B-7FDE-41C6-B0A4-998B87E80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0" name="Picture 1" descr="ALMASHRI_0">
          <a:extLst>
            <a:ext uri="{FF2B5EF4-FFF2-40B4-BE49-F238E27FC236}">
              <a16:creationId xmlns:a16="http://schemas.microsoft.com/office/drawing/2014/main" id="{3FDFB6B2-7733-4F9E-97E1-CB18C8CF4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1" name="Picture 1" descr="ALMASHRI_0">
          <a:extLst>
            <a:ext uri="{FF2B5EF4-FFF2-40B4-BE49-F238E27FC236}">
              <a16:creationId xmlns:a16="http://schemas.microsoft.com/office/drawing/2014/main" id="{43F6A1D4-A75F-47F2-9928-BFB042EDE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2" name="Picture 1" descr="ALMASHRI_0">
          <a:extLst>
            <a:ext uri="{FF2B5EF4-FFF2-40B4-BE49-F238E27FC236}">
              <a16:creationId xmlns:a16="http://schemas.microsoft.com/office/drawing/2014/main" id="{F4708ED1-3A53-447B-A4B1-B3F3CC29F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3" name="Picture 1" descr="ALMASHRI_0">
          <a:extLst>
            <a:ext uri="{FF2B5EF4-FFF2-40B4-BE49-F238E27FC236}">
              <a16:creationId xmlns:a16="http://schemas.microsoft.com/office/drawing/2014/main" id="{A6F99180-7D85-439D-98D3-DD9DE166E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4" name="Picture 1" descr="ALMASHRI_0">
          <a:extLst>
            <a:ext uri="{FF2B5EF4-FFF2-40B4-BE49-F238E27FC236}">
              <a16:creationId xmlns:a16="http://schemas.microsoft.com/office/drawing/2014/main" id="{44DACCF3-0E9E-485A-9B0E-9C164CF76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5" name="Picture 1" descr="ALMASHRI_0">
          <a:extLst>
            <a:ext uri="{FF2B5EF4-FFF2-40B4-BE49-F238E27FC236}">
              <a16:creationId xmlns:a16="http://schemas.microsoft.com/office/drawing/2014/main" id="{C1F7A21F-B676-4F11-89AC-D0EB1EE83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6" name="Picture 1" descr="ALMASHRI_0">
          <a:extLst>
            <a:ext uri="{FF2B5EF4-FFF2-40B4-BE49-F238E27FC236}">
              <a16:creationId xmlns:a16="http://schemas.microsoft.com/office/drawing/2014/main" id="{3FB5F691-3F53-4E12-AB8B-65520C80A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7" name="Picture 1" descr="ALMASHRI_0">
          <a:extLst>
            <a:ext uri="{FF2B5EF4-FFF2-40B4-BE49-F238E27FC236}">
              <a16:creationId xmlns:a16="http://schemas.microsoft.com/office/drawing/2014/main" id="{F3630F2A-ABAE-43C3-9971-E7B9E5DB2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8" name="Picture 1" descr="ALMASHRI_0">
          <a:extLst>
            <a:ext uri="{FF2B5EF4-FFF2-40B4-BE49-F238E27FC236}">
              <a16:creationId xmlns:a16="http://schemas.microsoft.com/office/drawing/2014/main" id="{48DA8BA3-FE38-4A74-8C78-4FE6C49D4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89" name="Picture 1" descr="ALMASHRI_0">
          <a:extLst>
            <a:ext uri="{FF2B5EF4-FFF2-40B4-BE49-F238E27FC236}">
              <a16:creationId xmlns:a16="http://schemas.microsoft.com/office/drawing/2014/main" id="{0217CF37-CD44-49A8-A7B8-A7510E9A4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90" name="Picture 1" descr="ALMASHRI_0">
          <a:extLst>
            <a:ext uri="{FF2B5EF4-FFF2-40B4-BE49-F238E27FC236}">
              <a16:creationId xmlns:a16="http://schemas.microsoft.com/office/drawing/2014/main" id="{1482CBBD-44D1-4772-885B-C2EF9C150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91" name="Picture 1" descr="ALMASHRI_0">
          <a:extLst>
            <a:ext uri="{FF2B5EF4-FFF2-40B4-BE49-F238E27FC236}">
              <a16:creationId xmlns:a16="http://schemas.microsoft.com/office/drawing/2014/main" id="{D705943C-C079-4866-AC2C-BB0C2B68F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92" name="Picture 1" descr="ALMASHRI_0">
          <a:extLst>
            <a:ext uri="{FF2B5EF4-FFF2-40B4-BE49-F238E27FC236}">
              <a16:creationId xmlns:a16="http://schemas.microsoft.com/office/drawing/2014/main" id="{CD66E1A7-4547-4608-AF4F-430A57022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93" name="Picture 1" descr="ALMASHRI_0">
          <a:extLst>
            <a:ext uri="{FF2B5EF4-FFF2-40B4-BE49-F238E27FC236}">
              <a16:creationId xmlns:a16="http://schemas.microsoft.com/office/drawing/2014/main" id="{1BF657E2-BDA9-4642-8499-274E99269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94" name="Picture 1" descr="ALMASHRI_0">
          <a:extLst>
            <a:ext uri="{FF2B5EF4-FFF2-40B4-BE49-F238E27FC236}">
              <a16:creationId xmlns:a16="http://schemas.microsoft.com/office/drawing/2014/main" id="{6F233276-AD0C-4B23-B5C1-315EC4891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695" name="Picture 1" descr="ALMASHRI_0">
          <a:extLst>
            <a:ext uri="{FF2B5EF4-FFF2-40B4-BE49-F238E27FC236}">
              <a16:creationId xmlns:a16="http://schemas.microsoft.com/office/drawing/2014/main" id="{81C56517-CD6D-43AF-9F87-25312CA53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96" name="Picture 1" descr="ALMASHRI_0">
          <a:extLst>
            <a:ext uri="{FF2B5EF4-FFF2-40B4-BE49-F238E27FC236}">
              <a16:creationId xmlns:a16="http://schemas.microsoft.com/office/drawing/2014/main" id="{D95C8253-629B-497B-ACD1-0AB3C99E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97" name="Picture 1" descr="ALMASHRI_0">
          <a:extLst>
            <a:ext uri="{FF2B5EF4-FFF2-40B4-BE49-F238E27FC236}">
              <a16:creationId xmlns:a16="http://schemas.microsoft.com/office/drawing/2014/main" id="{CDA040E2-80B6-498C-93F0-7F0ABF118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98" name="Picture 1" descr="ALMASHRI_0">
          <a:extLst>
            <a:ext uri="{FF2B5EF4-FFF2-40B4-BE49-F238E27FC236}">
              <a16:creationId xmlns:a16="http://schemas.microsoft.com/office/drawing/2014/main" id="{C8F1EC54-13D1-44A4-8861-3D86DD9A4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699" name="Picture 1" descr="ALMASHRI_0">
          <a:extLst>
            <a:ext uri="{FF2B5EF4-FFF2-40B4-BE49-F238E27FC236}">
              <a16:creationId xmlns:a16="http://schemas.microsoft.com/office/drawing/2014/main" id="{CD33C2B4-A153-482D-9B12-C115C08EA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0" name="Picture 1" descr="ALMASHRI_0">
          <a:extLst>
            <a:ext uri="{FF2B5EF4-FFF2-40B4-BE49-F238E27FC236}">
              <a16:creationId xmlns:a16="http://schemas.microsoft.com/office/drawing/2014/main" id="{35D13340-A1A6-4860-896D-49B5FE36A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1" name="Picture 1" descr="ALMASHRI_0">
          <a:extLst>
            <a:ext uri="{FF2B5EF4-FFF2-40B4-BE49-F238E27FC236}">
              <a16:creationId xmlns:a16="http://schemas.microsoft.com/office/drawing/2014/main" id="{C4301752-8AEE-480F-AD31-5EE8E5278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2" name="Picture 1" descr="ALMASHRI_0">
          <a:extLst>
            <a:ext uri="{FF2B5EF4-FFF2-40B4-BE49-F238E27FC236}">
              <a16:creationId xmlns:a16="http://schemas.microsoft.com/office/drawing/2014/main" id="{00054D12-104B-40F6-B65B-7D0EF324E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3" name="Picture 1" descr="ALMASHRI_0">
          <a:extLst>
            <a:ext uri="{FF2B5EF4-FFF2-40B4-BE49-F238E27FC236}">
              <a16:creationId xmlns:a16="http://schemas.microsoft.com/office/drawing/2014/main" id="{F8F63B68-690D-4CEA-AE6D-48BECA2B7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4" name="Picture 1" descr="ALMASHRI_0">
          <a:extLst>
            <a:ext uri="{FF2B5EF4-FFF2-40B4-BE49-F238E27FC236}">
              <a16:creationId xmlns:a16="http://schemas.microsoft.com/office/drawing/2014/main" id="{7DC77A8A-FF51-43F6-B655-A937B609A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5" name="Picture 1" descr="ALMASHRI_0">
          <a:extLst>
            <a:ext uri="{FF2B5EF4-FFF2-40B4-BE49-F238E27FC236}">
              <a16:creationId xmlns:a16="http://schemas.microsoft.com/office/drawing/2014/main" id="{B9453CBD-92D4-4DBA-8279-328C9AC18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6" name="Picture 1" descr="ALMASHRI_0">
          <a:extLst>
            <a:ext uri="{FF2B5EF4-FFF2-40B4-BE49-F238E27FC236}">
              <a16:creationId xmlns:a16="http://schemas.microsoft.com/office/drawing/2014/main" id="{6FF1D786-D141-4BCF-98A7-75195A598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7" name="Picture 1" descr="ALMASHRI_0">
          <a:extLst>
            <a:ext uri="{FF2B5EF4-FFF2-40B4-BE49-F238E27FC236}">
              <a16:creationId xmlns:a16="http://schemas.microsoft.com/office/drawing/2014/main" id="{7441D324-E38F-4FA2-B963-031F22FBB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8" name="Picture 1" descr="ALMASHRI_0">
          <a:extLst>
            <a:ext uri="{FF2B5EF4-FFF2-40B4-BE49-F238E27FC236}">
              <a16:creationId xmlns:a16="http://schemas.microsoft.com/office/drawing/2014/main" id="{19CB31E3-F0BA-471E-B08B-E830066A1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09" name="Picture 1" descr="ALMASHRI_0">
          <a:extLst>
            <a:ext uri="{FF2B5EF4-FFF2-40B4-BE49-F238E27FC236}">
              <a16:creationId xmlns:a16="http://schemas.microsoft.com/office/drawing/2014/main" id="{7982B19A-F446-4724-BEB0-E809A8545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10" name="Picture 1" descr="ALMASHRI_0">
          <a:extLst>
            <a:ext uri="{FF2B5EF4-FFF2-40B4-BE49-F238E27FC236}">
              <a16:creationId xmlns:a16="http://schemas.microsoft.com/office/drawing/2014/main" id="{6AB3B720-D6AA-4769-BDFF-D5395F1AA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11" name="Picture 1" descr="ALMASHRI_0">
          <a:extLst>
            <a:ext uri="{FF2B5EF4-FFF2-40B4-BE49-F238E27FC236}">
              <a16:creationId xmlns:a16="http://schemas.microsoft.com/office/drawing/2014/main" id="{7F7D0CB5-3523-46FC-A89C-C20704606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12" name="Picture 1" descr="ALMASHRI_0">
          <a:extLst>
            <a:ext uri="{FF2B5EF4-FFF2-40B4-BE49-F238E27FC236}">
              <a16:creationId xmlns:a16="http://schemas.microsoft.com/office/drawing/2014/main" id="{58B512E0-4649-4A3E-A628-2C080E237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13" name="Picture 1" descr="ALMASHRI_0">
          <a:extLst>
            <a:ext uri="{FF2B5EF4-FFF2-40B4-BE49-F238E27FC236}">
              <a16:creationId xmlns:a16="http://schemas.microsoft.com/office/drawing/2014/main" id="{00173B25-FE94-4E0A-ACFF-439EF6C52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14" name="Picture 1" descr="ALMASHRI_0">
          <a:extLst>
            <a:ext uri="{FF2B5EF4-FFF2-40B4-BE49-F238E27FC236}">
              <a16:creationId xmlns:a16="http://schemas.microsoft.com/office/drawing/2014/main" id="{ED75AB87-CF3D-4D5C-8BA3-076899E88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15" name="Picture 1" descr="ALMASHRI_0">
          <a:extLst>
            <a:ext uri="{FF2B5EF4-FFF2-40B4-BE49-F238E27FC236}">
              <a16:creationId xmlns:a16="http://schemas.microsoft.com/office/drawing/2014/main" id="{75C8E950-A8EB-4D3A-A9DC-2B18BC9DC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16" name="Picture 1" descr="ALMASHRI_0">
          <a:extLst>
            <a:ext uri="{FF2B5EF4-FFF2-40B4-BE49-F238E27FC236}">
              <a16:creationId xmlns:a16="http://schemas.microsoft.com/office/drawing/2014/main" id="{58FF6512-D1E9-4A9D-A1BC-8FCF21B52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17" name="Picture 1" descr="ALMASHRI_0">
          <a:extLst>
            <a:ext uri="{FF2B5EF4-FFF2-40B4-BE49-F238E27FC236}">
              <a16:creationId xmlns:a16="http://schemas.microsoft.com/office/drawing/2014/main" id="{8B5057BE-3EEC-4C51-9213-8DE9387BF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18" name="Picture 1" descr="ALMASHRI_0">
          <a:extLst>
            <a:ext uri="{FF2B5EF4-FFF2-40B4-BE49-F238E27FC236}">
              <a16:creationId xmlns:a16="http://schemas.microsoft.com/office/drawing/2014/main" id="{91BFC90A-6A1E-4336-A2CC-F9A07A5DA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19" name="Picture 1" descr="ALMASHRI_0">
          <a:extLst>
            <a:ext uri="{FF2B5EF4-FFF2-40B4-BE49-F238E27FC236}">
              <a16:creationId xmlns:a16="http://schemas.microsoft.com/office/drawing/2014/main" id="{16E69240-7698-4018-940E-1B40BCB30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20" name="Picture 1" descr="ALMASHRI_0">
          <a:extLst>
            <a:ext uri="{FF2B5EF4-FFF2-40B4-BE49-F238E27FC236}">
              <a16:creationId xmlns:a16="http://schemas.microsoft.com/office/drawing/2014/main" id="{A707AB4D-04A0-4A46-B485-62A9A04F6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21" name="Picture 1" descr="ALMASHRI_0">
          <a:extLst>
            <a:ext uri="{FF2B5EF4-FFF2-40B4-BE49-F238E27FC236}">
              <a16:creationId xmlns:a16="http://schemas.microsoft.com/office/drawing/2014/main" id="{085458E1-7F24-4106-82FD-759D441E3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22" name="Picture 1" descr="ALMASHRI_0">
          <a:extLst>
            <a:ext uri="{FF2B5EF4-FFF2-40B4-BE49-F238E27FC236}">
              <a16:creationId xmlns:a16="http://schemas.microsoft.com/office/drawing/2014/main" id="{AD2B25B9-EC35-4F4C-B264-097D198E9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23" name="Picture 1" descr="ALMASHRI_0">
          <a:extLst>
            <a:ext uri="{FF2B5EF4-FFF2-40B4-BE49-F238E27FC236}">
              <a16:creationId xmlns:a16="http://schemas.microsoft.com/office/drawing/2014/main" id="{A56AEA51-D65F-4A67-8828-1D0C3CAD9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24" name="Picture 1" descr="ALMASHRI_0">
          <a:extLst>
            <a:ext uri="{FF2B5EF4-FFF2-40B4-BE49-F238E27FC236}">
              <a16:creationId xmlns:a16="http://schemas.microsoft.com/office/drawing/2014/main" id="{B9814E2D-8596-4B3A-A8C5-8B5DF5E85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25" name="Picture 1" descr="ALMASHRI_0">
          <a:extLst>
            <a:ext uri="{FF2B5EF4-FFF2-40B4-BE49-F238E27FC236}">
              <a16:creationId xmlns:a16="http://schemas.microsoft.com/office/drawing/2014/main" id="{FE02E6C6-0EF9-47E8-A275-41A7391B7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26" name="Picture 1" descr="ALMASHRI_0">
          <a:extLst>
            <a:ext uri="{FF2B5EF4-FFF2-40B4-BE49-F238E27FC236}">
              <a16:creationId xmlns:a16="http://schemas.microsoft.com/office/drawing/2014/main" id="{99D35317-A432-483F-9A7F-82ECA5ADE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27" name="Picture 1" descr="ALMASHRI_0">
          <a:extLst>
            <a:ext uri="{FF2B5EF4-FFF2-40B4-BE49-F238E27FC236}">
              <a16:creationId xmlns:a16="http://schemas.microsoft.com/office/drawing/2014/main" id="{77348AB3-226B-4EAE-A5F9-0823158A2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28" name="Picture 1" descr="ALMASHRI_0">
          <a:extLst>
            <a:ext uri="{FF2B5EF4-FFF2-40B4-BE49-F238E27FC236}">
              <a16:creationId xmlns:a16="http://schemas.microsoft.com/office/drawing/2014/main" id="{ECEF9BAA-2EE7-4737-8BDE-7DFF33CD3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29" name="Picture 1" descr="ALMASHRI_0">
          <a:extLst>
            <a:ext uri="{FF2B5EF4-FFF2-40B4-BE49-F238E27FC236}">
              <a16:creationId xmlns:a16="http://schemas.microsoft.com/office/drawing/2014/main" id="{9028CF95-B8F1-486C-BF98-54322B17F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0" name="Picture 1" descr="ALMASHRI_0">
          <a:extLst>
            <a:ext uri="{FF2B5EF4-FFF2-40B4-BE49-F238E27FC236}">
              <a16:creationId xmlns:a16="http://schemas.microsoft.com/office/drawing/2014/main" id="{70CD0E58-5FA2-4DC6-B3AD-2C3BF3C2F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1" name="Picture 1" descr="ALMASHRI_0">
          <a:extLst>
            <a:ext uri="{FF2B5EF4-FFF2-40B4-BE49-F238E27FC236}">
              <a16:creationId xmlns:a16="http://schemas.microsoft.com/office/drawing/2014/main" id="{B3DF1AC1-F5BE-4818-B37E-49509AC1B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2" name="Picture 1" descr="ALMASHRI_0">
          <a:extLst>
            <a:ext uri="{FF2B5EF4-FFF2-40B4-BE49-F238E27FC236}">
              <a16:creationId xmlns:a16="http://schemas.microsoft.com/office/drawing/2014/main" id="{93F2D35D-D8CE-449B-80E9-FCF0A72F3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3" name="Picture 1" descr="ALMASHRI_0">
          <a:extLst>
            <a:ext uri="{FF2B5EF4-FFF2-40B4-BE49-F238E27FC236}">
              <a16:creationId xmlns:a16="http://schemas.microsoft.com/office/drawing/2014/main" id="{AE177EE2-5A0A-46E9-AE7E-05EFADA59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4" name="Picture 1" descr="ALMASHRI_0">
          <a:extLst>
            <a:ext uri="{FF2B5EF4-FFF2-40B4-BE49-F238E27FC236}">
              <a16:creationId xmlns:a16="http://schemas.microsoft.com/office/drawing/2014/main" id="{EE962750-FFCD-4159-8562-52556133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5" name="Picture 1" descr="ALMASHRI_0">
          <a:extLst>
            <a:ext uri="{FF2B5EF4-FFF2-40B4-BE49-F238E27FC236}">
              <a16:creationId xmlns:a16="http://schemas.microsoft.com/office/drawing/2014/main" id="{5A698EE6-725D-4B20-B0EA-4EF1E042A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6" name="Picture 1" descr="ALMASHRI_0">
          <a:extLst>
            <a:ext uri="{FF2B5EF4-FFF2-40B4-BE49-F238E27FC236}">
              <a16:creationId xmlns:a16="http://schemas.microsoft.com/office/drawing/2014/main" id="{7F9AC9A8-25FA-4A2E-915B-A346E8032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7" name="Picture 1" descr="ALMASHRI_0">
          <a:extLst>
            <a:ext uri="{FF2B5EF4-FFF2-40B4-BE49-F238E27FC236}">
              <a16:creationId xmlns:a16="http://schemas.microsoft.com/office/drawing/2014/main" id="{3FC113A8-D68E-444D-8C68-49287325A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8" name="Picture 1" descr="ALMASHRI_0">
          <a:extLst>
            <a:ext uri="{FF2B5EF4-FFF2-40B4-BE49-F238E27FC236}">
              <a16:creationId xmlns:a16="http://schemas.microsoft.com/office/drawing/2014/main" id="{877CD34B-9904-4462-BF15-96D7AEC51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39" name="Picture 1" descr="ALMASHRI_0">
          <a:extLst>
            <a:ext uri="{FF2B5EF4-FFF2-40B4-BE49-F238E27FC236}">
              <a16:creationId xmlns:a16="http://schemas.microsoft.com/office/drawing/2014/main" id="{763C2767-720D-436E-9944-B7E40A01C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40" name="Picture 1" descr="ALMASHRI_0">
          <a:extLst>
            <a:ext uri="{FF2B5EF4-FFF2-40B4-BE49-F238E27FC236}">
              <a16:creationId xmlns:a16="http://schemas.microsoft.com/office/drawing/2014/main" id="{D1DE1B7D-369D-4394-B072-D5A060ED1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41" name="Picture 1" descr="ALMASHRI_0">
          <a:extLst>
            <a:ext uri="{FF2B5EF4-FFF2-40B4-BE49-F238E27FC236}">
              <a16:creationId xmlns:a16="http://schemas.microsoft.com/office/drawing/2014/main" id="{F36FEDBB-609F-4B89-946F-809E2C449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42" name="Picture 1" descr="ALMASHRI_0">
          <a:extLst>
            <a:ext uri="{FF2B5EF4-FFF2-40B4-BE49-F238E27FC236}">
              <a16:creationId xmlns:a16="http://schemas.microsoft.com/office/drawing/2014/main" id="{FDA75964-85EB-455C-A358-3990E837A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743" name="Picture 1" descr="ALMASHRI_0">
          <a:extLst>
            <a:ext uri="{FF2B5EF4-FFF2-40B4-BE49-F238E27FC236}">
              <a16:creationId xmlns:a16="http://schemas.microsoft.com/office/drawing/2014/main" id="{1CD38526-514D-4533-9559-9AFB47C93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44" name="Picture 1" descr="ALMASHRI_0">
          <a:extLst>
            <a:ext uri="{FF2B5EF4-FFF2-40B4-BE49-F238E27FC236}">
              <a16:creationId xmlns:a16="http://schemas.microsoft.com/office/drawing/2014/main" id="{19AE6EE8-8245-4AD8-A264-9338808BF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45" name="Picture 1" descr="ALMASHRI_0">
          <a:extLst>
            <a:ext uri="{FF2B5EF4-FFF2-40B4-BE49-F238E27FC236}">
              <a16:creationId xmlns:a16="http://schemas.microsoft.com/office/drawing/2014/main" id="{01D498B1-4303-4E46-A4CB-FDA1DB636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46" name="Picture 1" descr="ALMASHRI_0">
          <a:extLst>
            <a:ext uri="{FF2B5EF4-FFF2-40B4-BE49-F238E27FC236}">
              <a16:creationId xmlns:a16="http://schemas.microsoft.com/office/drawing/2014/main" id="{F235EB8F-EDCB-4246-A03E-F17C8919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47" name="Picture 1" descr="ALMASHRI_0">
          <a:extLst>
            <a:ext uri="{FF2B5EF4-FFF2-40B4-BE49-F238E27FC236}">
              <a16:creationId xmlns:a16="http://schemas.microsoft.com/office/drawing/2014/main" id="{F0FC799A-AEEB-4A8B-9420-ACEB290AE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48" name="Picture 1" descr="ALMASHRI_0">
          <a:extLst>
            <a:ext uri="{FF2B5EF4-FFF2-40B4-BE49-F238E27FC236}">
              <a16:creationId xmlns:a16="http://schemas.microsoft.com/office/drawing/2014/main" id="{A3D1FD63-75A8-466C-92E9-D3A59D89E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49" name="Picture 1" descr="ALMASHRI_0">
          <a:extLst>
            <a:ext uri="{FF2B5EF4-FFF2-40B4-BE49-F238E27FC236}">
              <a16:creationId xmlns:a16="http://schemas.microsoft.com/office/drawing/2014/main" id="{3718588D-8630-45A2-911C-4B70E9AF1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0" name="Picture 1" descr="ALMASHRI_0">
          <a:extLst>
            <a:ext uri="{FF2B5EF4-FFF2-40B4-BE49-F238E27FC236}">
              <a16:creationId xmlns:a16="http://schemas.microsoft.com/office/drawing/2014/main" id="{1C030015-BB01-4D5A-8B58-F608091A7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1" name="Picture 1" descr="ALMASHRI_0">
          <a:extLst>
            <a:ext uri="{FF2B5EF4-FFF2-40B4-BE49-F238E27FC236}">
              <a16:creationId xmlns:a16="http://schemas.microsoft.com/office/drawing/2014/main" id="{B2C3A085-2A4B-44CF-BBA2-857B5D78B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2" name="Picture 1" descr="ALMASHRI_0">
          <a:extLst>
            <a:ext uri="{FF2B5EF4-FFF2-40B4-BE49-F238E27FC236}">
              <a16:creationId xmlns:a16="http://schemas.microsoft.com/office/drawing/2014/main" id="{CB5F0270-731D-4BBD-AF76-6D0A7A2D3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3" name="Picture 1" descr="ALMASHRI_0">
          <a:extLst>
            <a:ext uri="{FF2B5EF4-FFF2-40B4-BE49-F238E27FC236}">
              <a16:creationId xmlns:a16="http://schemas.microsoft.com/office/drawing/2014/main" id="{B7FCFDC3-94FE-4BDB-9043-44A6DF022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4" name="Picture 1" descr="ALMASHRI_0">
          <a:extLst>
            <a:ext uri="{FF2B5EF4-FFF2-40B4-BE49-F238E27FC236}">
              <a16:creationId xmlns:a16="http://schemas.microsoft.com/office/drawing/2014/main" id="{AA32CF13-93CB-4462-AD64-A4F9C94E0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5" name="Picture 1" descr="ALMASHRI_0">
          <a:extLst>
            <a:ext uri="{FF2B5EF4-FFF2-40B4-BE49-F238E27FC236}">
              <a16:creationId xmlns:a16="http://schemas.microsoft.com/office/drawing/2014/main" id="{46A8E720-FC95-4441-AA55-434A2B473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6" name="Picture 1" descr="ALMASHRI_0">
          <a:extLst>
            <a:ext uri="{FF2B5EF4-FFF2-40B4-BE49-F238E27FC236}">
              <a16:creationId xmlns:a16="http://schemas.microsoft.com/office/drawing/2014/main" id="{DC90169E-311D-4B12-9807-00EBCF5BC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7" name="Picture 1" descr="ALMASHRI_0">
          <a:extLst>
            <a:ext uri="{FF2B5EF4-FFF2-40B4-BE49-F238E27FC236}">
              <a16:creationId xmlns:a16="http://schemas.microsoft.com/office/drawing/2014/main" id="{A2A7889C-364C-492E-9866-3ED3E9979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8" name="Picture 1" descr="ALMASHRI_0">
          <a:extLst>
            <a:ext uri="{FF2B5EF4-FFF2-40B4-BE49-F238E27FC236}">
              <a16:creationId xmlns:a16="http://schemas.microsoft.com/office/drawing/2014/main" id="{6C9F9D56-0EB6-467C-8A4C-28A7443C6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759" name="Picture 1" descr="ALMASHRI_0">
          <a:extLst>
            <a:ext uri="{FF2B5EF4-FFF2-40B4-BE49-F238E27FC236}">
              <a16:creationId xmlns:a16="http://schemas.microsoft.com/office/drawing/2014/main" id="{3C09D399-F7AB-4A8F-8F36-9A070F076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0" name="Picture 1" descr="ALMASHRI_0">
          <a:extLst>
            <a:ext uri="{FF2B5EF4-FFF2-40B4-BE49-F238E27FC236}">
              <a16:creationId xmlns:a16="http://schemas.microsoft.com/office/drawing/2014/main" id="{2E9EDE78-9113-425D-BB0E-3125E8D97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1" name="Picture 1" descr="ALMASHRI_0">
          <a:extLst>
            <a:ext uri="{FF2B5EF4-FFF2-40B4-BE49-F238E27FC236}">
              <a16:creationId xmlns:a16="http://schemas.microsoft.com/office/drawing/2014/main" id="{AF2036AE-5BBC-4813-9483-955AF4236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2" name="Picture 1" descr="ALMASHRI_0">
          <a:extLst>
            <a:ext uri="{FF2B5EF4-FFF2-40B4-BE49-F238E27FC236}">
              <a16:creationId xmlns:a16="http://schemas.microsoft.com/office/drawing/2014/main" id="{2CD348F5-23B8-45C4-9EF3-47019C7EE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3" name="Picture 1" descr="ALMASHRI_0">
          <a:extLst>
            <a:ext uri="{FF2B5EF4-FFF2-40B4-BE49-F238E27FC236}">
              <a16:creationId xmlns:a16="http://schemas.microsoft.com/office/drawing/2014/main" id="{4B5005A8-44E1-427A-AACD-1E96E0079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4" name="Picture 1" descr="ALMASHRI_0">
          <a:extLst>
            <a:ext uri="{FF2B5EF4-FFF2-40B4-BE49-F238E27FC236}">
              <a16:creationId xmlns:a16="http://schemas.microsoft.com/office/drawing/2014/main" id="{78A143D0-8AC8-4D12-87B3-546B9DBC0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5" name="Picture 1" descr="ALMASHRI_0">
          <a:extLst>
            <a:ext uri="{FF2B5EF4-FFF2-40B4-BE49-F238E27FC236}">
              <a16:creationId xmlns:a16="http://schemas.microsoft.com/office/drawing/2014/main" id="{8F47B2AB-A027-40A6-8204-8C5B9792A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6" name="Picture 1" descr="ALMASHRI_0">
          <a:extLst>
            <a:ext uri="{FF2B5EF4-FFF2-40B4-BE49-F238E27FC236}">
              <a16:creationId xmlns:a16="http://schemas.microsoft.com/office/drawing/2014/main" id="{6788F379-7D98-4FB9-AB8E-D7000B470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7" name="Picture 1" descr="ALMASHRI_0">
          <a:extLst>
            <a:ext uri="{FF2B5EF4-FFF2-40B4-BE49-F238E27FC236}">
              <a16:creationId xmlns:a16="http://schemas.microsoft.com/office/drawing/2014/main" id="{5BBE3BE7-E298-4FDC-A361-C3B946BA1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8" name="Picture 1" descr="ALMASHRI_0">
          <a:extLst>
            <a:ext uri="{FF2B5EF4-FFF2-40B4-BE49-F238E27FC236}">
              <a16:creationId xmlns:a16="http://schemas.microsoft.com/office/drawing/2014/main" id="{FAD268A4-42F8-47F0-ACE7-E1430019D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69" name="Picture 1" descr="ALMASHRI_0">
          <a:extLst>
            <a:ext uri="{FF2B5EF4-FFF2-40B4-BE49-F238E27FC236}">
              <a16:creationId xmlns:a16="http://schemas.microsoft.com/office/drawing/2014/main" id="{4222BE94-62AA-4A9F-9258-D5AAE9930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70" name="Picture 1" descr="ALMASHRI_0">
          <a:extLst>
            <a:ext uri="{FF2B5EF4-FFF2-40B4-BE49-F238E27FC236}">
              <a16:creationId xmlns:a16="http://schemas.microsoft.com/office/drawing/2014/main" id="{5C5CD81B-5419-46B8-AEC5-DB5197846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71" name="Picture 1" descr="ALMASHRI_0">
          <a:extLst>
            <a:ext uri="{FF2B5EF4-FFF2-40B4-BE49-F238E27FC236}">
              <a16:creationId xmlns:a16="http://schemas.microsoft.com/office/drawing/2014/main" id="{1C967162-35DE-4F3D-9DA6-703D190A9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72" name="Picture 1" descr="ALMASHRI_0">
          <a:extLst>
            <a:ext uri="{FF2B5EF4-FFF2-40B4-BE49-F238E27FC236}">
              <a16:creationId xmlns:a16="http://schemas.microsoft.com/office/drawing/2014/main" id="{C831A06E-97C3-407B-80D7-1C8BA74D0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73" name="Picture 1" descr="ALMASHRI_0">
          <a:extLst>
            <a:ext uri="{FF2B5EF4-FFF2-40B4-BE49-F238E27FC236}">
              <a16:creationId xmlns:a16="http://schemas.microsoft.com/office/drawing/2014/main" id="{3A6EF55B-2E35-4D69-8EB0-72EA35C84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74" name="Picture 1" descr="ALMASHRI_0">
          <a:extLst>
            <a:ext uri="{FF2B5EF4-FFF2-40B4-BE49-F238E27FC236}">
              <a16:creationId xmlns:a16="http://schemas.microsoft.com/office/drawing/2014/main" id="{023BF5B9-C15A-442D-BC61-EC2ADBBB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775" name="Picture 1" descr="ALMASHRI_0">
          <a:extLst>
            <a:ext uri="{FF2B5EF4-FFF2-40B4-BE49-F238E27FC236}">
              <a16:creationId xmlns:a16="http://schemas.microsoft.com/office/drawing/2014/main" id="{1A352BB3-CE32-4FE8-B575-596E4E2AF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76" name="Picture 1" descr="ALMASHRI_0">
          <a:extLst>
            <a:ext uri="{FF2B5EF4-FFF2-40B4-BE49-F238E27FC236}">
              <a16:creationId xmlns:a16="http://schemas.microsoft.com/office/drawing/2014/main" id="{A7E1B062-FCE5-4E8B-B413-52AC92F5D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77" name="Picture 1" descr="ALMASHRI_0">
          <a:extLst>
            <a:ext uri="{FF2B5EF4-FFF2-40B4-BE49-F238E27FC236}">
              <a16:creationId xmlns:a16="http://schemas.microsoft.com/office/drawing/2014/main" id="{EE1E4FAF-AE3C-49E6-9D4F-C6C7345B0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78" name="Picture 1" descr="ALMASHRI_0">
          <a:extLst>
            <a:ext uri="{FF2B5EF4-FFF2-40B4-BE49-F238E27FC236}">
              <a16:creationId xmlns:a16="http://schemas.microsoft.com/office/drawing/2014/main" id="{50AD0B17-6360-416E-BDE9-6A94881B1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79" name="Picture 1" descr="ALMASHRI_0">
          <a:extLst>
            <a:ext uri="{FF2B5EF4-FFF2-40B4-BE49-F238E27FC236}">
              <a16:creationId xmlns:a16="http://schemas.microsoft.com/office/drawing/2014/main" id="{C46F7C52-A702-4C5A-8613-ABF9FD8A5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0" name="Picture 1" descr="ALMASHRI_0">
          <a:extLst>
            <a:ext uri="{FF2B5EF4-FFF2-40B4-BE49-F238E27FC236}">
              <a16:creationId xmlns:a16="http://schemas.microsoft.com/office/drawing/2014/main" id="{909BA029-7038-4C2A-B083-9CF08C592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1" name="Picture 1" descr="ALMASHRI_0">
          <a:extLst>
            <a:ext uri="{FF2B5EF4-FFF2-40B4-BE49-F238E27FC236}">
              <a16:creationId xmlns:a16="http://schemas.microsoft.com/office/drawing/2014/main" id="{883FE526-48FB-446C-B7FA-6BF9044FC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2" name="Picture 1" descr="ALMASHRI_0">
          <a:extLst>
            <a:ext uri="{FF2B5EF4-FFF2-40B4-BE49-F238E27FC236}">
              <a16:creationId xmlns:a16="http://schemas.microsoft.com/office/drawing/2014/main" id="{DF8E5E13-8418-4573-98CA-60C45FF6D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3" name="Picture 1" descr="ALMASHRI_0">
          <a:extLst>
            <a:ext uri="{FF2B5EF4-FFF2-40B4-BE49-F238E27FC236}">
              <a16:creationId xmlns:a16="http://schemas.microsoft.com/office/drawing/2014/main" id="{47121D20-389B-4F66-BA1B-9388407E0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4" name="Picture 1" descr="ALMASHRI_0">
          <a:extLst>
            <a:ext uri="{FF2B5EF4-FFF2-40B4-BE49-F238E27FC236}">
              <a16:creationId xmlns:a16="http://schemas.microsoft.com/office/drawing/2014/main" id="{1737BFDF-40CC-4DC1-A787-8EE926068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5" name="Picture 1" descr="ALMASHRI_0">
          <a:extLst>
            <a:ext uri="{FF2B5EF4-FFF2-40B4-BE49-F238E27FC236}">
              <a16:creationId xmlns:a16="http://schemas.microsoft.com/office/drawing/2014/main" id="{BADE9BC9-2F44-4C74-9264-335537A8F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6" name="Picture 1" descr="ALMASHRI_0">
          <a:extLst>
            <a:ext uri="{FF2B5EF4-FFF2-40B4-BE49-F238E27FC236}">
              <a16:creationId xmlns:a16="http://schemas.microsoft.com/office/drawing/2014/main" id="{48B35C49-368F-499A-B3D3-E1EE74E78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7" name="Picture 1" descr="ALMASHRI_0">
          <a:extLst>
            <a:ext uri="{FF2B5EF4-FFF2-40B4-BE49-F238E27FC236}">
              <a16:creationId xmlns:a16="http://schemas.microsoft.com/office/drawing/2014/main" id="{6A80307F-C754-49CF-9394-4BAB7F614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8" name="Picture 1" descr="ALMASHRI_0">
          <a:extLst>
            <a:ext uri="{FF2B5EF4-FFF2-40B4-BE49-F238E27FC236}">
              <a16:creationId xmlns:a16="http://schemas.microsoft.com/office/drawing/2014/main" id="{9FA1C8CB-CB81-4BDC-8A39-0AF2F8A3F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89" name="Picture 1" descr="ALMASHRI_0">
          <a:extLst>
            <a:ext uri="{FF2B5EF4-FFF2-40B4-BE49-F238E27FC236}">
              <a16:creationId xmlns:a16="http://schemas.microsoft.com/office/drawing/2014/main" id="{A1EAB6DA-7720-4274-9EDC-757E4415C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90" name="Picture 1" descr="ALMASHRI_0">
          <a:extLst>
            <a:ext uri="{FF2B5EF4-FFF2-40B4-BE49-F238E27FC236}">
              <a16:creationId xmlns:a16="http://schemas.microsoft.com/office/drawing/2014/main" id="{0DEF3645-3502-4391-B97A-E41C5DF84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791" name="Picture 1" descr="ALMASHRI_0">
          <a:extLst>
            <a:ext uri="{FF2B5EF4-FFF2-40B4-BE49-F238E27FC236}">
              <a16:creationId xmlns:a16="http://schemas.microsoft.com/office/drawing/2014/main" id="{61EFD08A-DCC2-4B25-8E85-D8805E1A7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792" name="Picture 1791" descr="ALMASHRI_0">
          <a:extLst>
            <a:ext uri="{FF2B5EF4-FFF2-40B4-BE49-F238E27FC236}">
              <a16:creationId xmlns:a16="http://schemas.microsoft.com/office/drawing/2014/main" id="{A49A0F29-1C55-452F-A29F-CDB2FAFF9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793" name="Picture 1" descr="ALMASHRI_0">
          <a:extLst>
            <a:ext uri="{FF2B5EF4-FFF2-40B4-BE49-F238E27FC236}">
              <a16:creationId xmlns:a16="http://schemas.microsoft.com/office/drawing/2014/main" id="{CD1D0D5D-94A5-4FF3-8E57-A22AA2E594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794" name="Picture 1" descr="ALMASHRI_0">
          <a:extLst>
            <a:ext uri="{FF2B5EF4-FFF2-40B4-BE49-F238E27FC236}">
              <a16:creationId xmlns:a16="http://schemas.microsoft.com/office/drawing/2014/main" id="{3499A12C-D268-4FEF-8A50-B8985E71A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795" name="Picture 1" descr="ALMASHRI_0">
          <a:extLst>
            <a:ext uri="{FF2B5EF4-FFF2-40B4-BE49-F238E27FC236}">
              <a16:creationId xmlns:a16="http://schemas.microsoft.com/office/drawing/2014/main" id="{44B71054-C53D-4628-BAC5-CA9CDAD63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796" name="Picture 1" descr="ALMASHRI_0">
          <a:extLst>
            <a:ext uri="{FF2B5EF4-FFF2-40B4-BE49-F238E27FC236}">
              <a16:creationId xmlns:a16="http://schemas.microsoft.com/office/drawing/2014/main" id="{7322DD46-20AB-4096-AA8E-9D45AC5F0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797" name="Picture 1" descr="ALMASHRI_0">
          <a:extLst>
            <a:ext uri="{FF2B5EF4-FFF2-40B4-BE49-F238E27FC236}">
              <a16:creationId xmlns:a16="http://schemas.microsoft.com/office/drawing/2014/main" id="{E0461528-E924-4844-8B2A-94AAFAF1B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798" name="Picture 1" descr="ALMASHRI_0">
          <a:extLst>
            <a:ext uri="{FF2B5EF4-FFF2-40B4-BE49-F238E27FC236}">
              <a16:creationId xmlns:a16="http://schemas.microsoft.com/office/drawing/2014/main" id="{59582CCB-EF45-4F1B-B785-41D8908E2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799" name="Picture 1" descr="ALMASHRI_0">
          <a:extLst>
            <a:ext uri="{FF2B5EF4-FFF2-40B4-BE49-F238E27FC236}">
              <a16:creationId xmlns:a16="http://schemas.microsoft.com/office/drawing/2014/main" id="{4C05DCF8-7EC0-4ADB-B93E-56DC324C3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800" name="Picture 1" descr="ALMASHRI_0">
          <a:extLst>
            <a:ext uri="{FF2B5EF4-FFF2-40B4-BE49-F238E27FC236}">
              <a16:creationId xmlns:a16="http://schemas.microsoft.com/office/drawing/2014/main" id="{FAB3791B-2AC0-4A84-B913-F56A4455B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801" name="Picture 1" descr="ALMASHRI_0">
          <a:extLst>
            <a:ext uri="{FF2B5EF4-FFF2-40B4-BE49-F238E27FC236}">
              <a16:creationId xmlns:a16="http://schemas.microsoft.com/office/drawing/2014/main" id="{93DC81AB-3B22-460B-A91B-1626B97A9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802" name="Picture 1" descr="ALMASHRI_0">
          <a:extLst>
            <a:ext uri="{FF2B5EF4-FFF2-40B4-BE49-F238E27FC236}">
              <a16:creationId xmlns:a16="http://schemas.microsoft.com/office/drawing/2014/main" id="{D9565C8B-0A2D-40BA-A1E6-616963E52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803" name="Picture 1" descr="ALMASHRI_0">
          <a:extLst>
            <a:ext uri="{FF2B5EF4-FFF2-40B4-BE49-F238E27FC236}">
              <a16:creationId xmlns:a16="http://schemas.microsoft.com/office/drawing/2014/main" id="{F2A19059-4F40-43FF-9E6B-AB333F5B7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804" name="Picture 1" descr="ALMASHRI_0">
          <a:extLst>
            <a:ext uri="{FF2B5EF4-FFF2-40B4-BE49-F238E27FC236}">
              <a16:creationId xmlns:a16="http://schemas.microsoft.com/office/drawing/2014/main" id="{18882A51-4651-40F1-B604-D1EBFC849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805" name="Picture 1" descr="ALMASHRI_0">
          <a:extLst>
            <a:ext uri="{FF2B5EF4-FFF2-40B4-BE49-F238E27FC236}">
              <a16:creationId xmlns:a16="http://schemas.microsoft.com/office/drawing/2014/main" id="{7F915F82-0BF8-4074-B131-F38582E7E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806" name="Picture 1" descr="ALMASHRI_0">
          <a:extLst>
            <a:ext uri="{FF2B5EF4-FFF2-40B4-BE49-F238E27FC236}">
              <a16:creationId xmlns:a16="http://schemas.microsoft.com/office/drawing/2014/main" id="{6280ED4D-46A9-4A21-81E3-09D338062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807" name="Picture 1" descr="ALMASHRI_0">
          <a:extLst>
            <a:ext uri="{FF2B5EF4-FFF2-40B4-BE49-F238E27FC236}">
              <a16:creationId xmlns:a16="http://schemas.microsoft.com/office/drawing/2014/main" id="{BBC2F502-36A7-4AE6-903B-683D4E571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08" name="Picture 1" descr="ALMASHRI_0">
          <a:extLst>
            <a:ext uri="{FF2B5EF4-FFF2-40B4-BE49-F238E27FC236}">
              <a16:creationId xmlns:a16="http://schemas.microsoft.com/office/drawing/2014/main" id="{C7FE44FA-0AF4-45A9-A6A0-AE6423457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09" name="Picture 1" descr="ALMASHRI_0">
          <a:extLst>
            <a:ext uri="{FF2B5EF4-FFF2-40B4-BE49-F238E27FC236}">
              <a16:creationId xmlns:a16="http://schemas.microsoft.com/office/drawing/2014/main" id="{FFB0B173-C256-4C1E-AD5E-C1111148D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0" name="Picture 1" descr="ALMASHRI_0">
          <a:extLst>
            <a:ext uri="{FF2B5EF4-FFF2-40B4-BE49-F238E27FC236}">
              <a16:creationId xmlns:a16="http://schemas.microsoft.com/office/drawing/2014/main" id="{AF597BBF-0390-4BAC-A2A6-2CC2B69AE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1" name="Picture 1" descr="ALMASHRI_0">
          <a:extLst>
            <a:ext uri="{FF2B5EF4-FFF2-40B4-BE49-F238E27FC236}">
              <a16:creationId xmlns:a16="http://schemas.microsoft.com/office/drawing/2014/main" id="{0CEE1D2F-1C8E-4210-AB0E-96357EF22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2" name="Picture 1" descr="ALMASHRI_0">
          <a:extLst>
            <a:ext uri="{FF2B5EF4-FFF2-40B4-BE49-F238E27FC236}">
              <a16:creationId xmlns:a16="http://schemas.microsoft.com/office/drawing/2014/main" id="{C3A40B84-1F93-45FF-81C6-B2006F465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3" name="Picture 1" descr="ALMASHRI_0">
          <a:extLst>
            <a:ext uri="{FF2B5EF4-FFF2-40B4-BE49-F238E27FC236}">
              <a16:creationId xmlns:a16="http://schemas.microsoft.com/office/drawing/2014/main" id="{8E86E35E-6283-4DFF-898D-8EFAE2476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4" name="Picture 1" descr="ALMASHRI_0">
          <a:extLst>
            <a:ext uri="{FF2B5EF4-FFF2-40B4-BE49-F238E27FC236}">
              <a16:creationId xmlns:a16="http://schemas.microsoft.com/office/drawing/2014/main" id="{E95D2FB8-9EEA-4BEE-BB66-2E90026A6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5" name="Picture 1" descr="ALMASHRI_0">
          <a:extLst>
            <a:ext uri="{FF2B5EF4-FFF2-40B4-BE49-F238E27FC236}">
              <a16:creationId xmlns:a16="http://schemas.microsoft.com/office/drawing/2014/main" id="{09A03322-73E4-4CE0-BC59-1EDF597A1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6" name="Picture 1" descr="ALMASHRI_0">
          <a:extLst>
            <a:ext uri="{FF2B5EF4-FFF2-40B4-BE49-F238E27FC236}">
              <a16:creationId xmlns:a16="http://schemas.microsoft.com/office/drawing/2014/main" id="{0683C816-1FAB-43C0-A608-336AC9409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7" name="Picture 1" descr="ALMASHRI_0">
          <a:extLst>
            <a:ext uri="{FF2B5EF4-FFF2-40B4-BE49-F238E27FC236}">
              <a16:creationId xmlns:a16="http://schemas.microsoft.com/office/drawing/2014/main" id="{877C21EC-1A66-40E5-AA4B-E171BA03A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8" name="Picture 1" descr="ALMASHRI_0">
          <a:extLst>
            <a:ext uri="{FF2B5EF4-FFF2-40B4-BE49-F238E27FC236}">
              <a16:creationId xmlns:a16="http://schemas.microsoft.com/office/drawing/2014/main" id="{994C65ED-C49C-406B-A024-50DF46C57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19" name="Picture 1" descr="ALMASHRI_0">
          <a:extLst>
            <a:ext uri="{FF2B5EF4-FFF2-40B4-BE49-F238E27FC236}">
              <a16:creationId xmlns:a16="http://schemas.microsoft.com/office/drawing/2014/main" id="{B0130833-08CD-4076-B421-BF8074C15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20" name="Picture 1" descr="ALMASHRI_0">
          <a:extLst>
            <a:ext uri="{FF2B5EF4-FFF2-40B4-BE49-F238E27FC236}">
              <a16:creationId xmlns:a16="http://schemas.microsoft.com/office/drawing/2014/main" id="{B9338C7C-B425-47AD-9E27-2BA824F1F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21" name="Picture 1" descr="ALMASHRI_0">
          <a:extLst>
            <a:ext uri="{FF2B5EF4-FFF2-40B4-BE49-F238E27FC236}">
              <a16:creationId xmlns:a16="http://schemas.microsoft.com/office/drawing/2014/main" id="{E0D054E4-0BE7-426C-AF24-65BF48897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22" name="Picture 1" descr="ALMASHRI_0">
          <a:extLst>
            <a:ext uri="{FF2B5EF4-FFF2-40B4-BE49-F238E27FC236}">
              <a16:creationId xmlns:a16="http://schemas.microsoft.com/office/drawing/2014/main" id="{DDF2481E-FA2C-403C-9DDE-07E4FC56C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823" name="Picture 1" descr="ALMASHRI_0">
          <a:extLst>
            <a:ext uri="{FF2B5EF4-FFF2-40B4-BE49-F238E27FC236}">
              <a16:creationId xmlns:a16="http://schemas.microsoft.com/office/drawing/2014/main" id="{F9ED0F41-58A7-4EFE-B059-582F4EB83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24" name="Picture 1" descr="ALMASHRI_0">
          <a:extLst>
            <a:ext uri="{FF2B5EF4-FFF2-40B4-BE49-F238E27FC236}">
              <a16:creationId xmlns:a16="http://schemas.microsoft.com/office/drawing/2014/main" id="{E2DD0BAB-FBF3-4EB0-A4CF-9B7138522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25" name="Picture 1" descr="ALMASHRI_0">
          <a:extLst>
            <a:ext uri="{FF2B5EF4-FFF2-40B4-BE49-F238E27FC236}">
              <a16:creationId xmlns:a16="http://schemas.microsoft.com/office/drawing/2014/main" id="{CB86E5DF-7DC4-40EB-93BB-7D2ECC91E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26" name="Picture 1" descr="ALMASHRI_0">
          <a:extLst>
            <a:ext uri="{FF2B5EF4-FFF2-40B4-BE49-F238E27FC236}">
              <a16:creationId xmlns:a16="http://schemas.microsoft.com/office/drawing/2014/main" id="{64D2207E-515F-45D1-8A0B-87FEADA0E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27" name="Picture 1" descr="ALMASHRI_0">
          <a:extLst>
            <a:ext uri="{FF2B5EF4-FFF2-40B4-BE49-F238E27FC236}">
              <a16:creationId xmlns:a16="http://schemas.microsoft.com/office/drawing/2014/main" id="{36B06965-751B-4AAC-AE31-2280219EF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28" name="Picture 1" descr="ALMASHRI_0">
          <a:extLst>
            <a:ext uri="{FF2B5EF4-FFF2-40B4-BE49-F238E27FC236}">
              <a16:creationId xmlns:a16="http://schemas.microsoft.com/office/drawing/2014/main" id="{43B58990-CF2B-471D-B48B-45B795124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29" name="Picture 1" descr="ALMASHRI_0">
          <a:extLst>
            <a:ext uri="{FF2B5EF4-FFF2-40B4-BE49-F238E27FC236}">
              <a16:creationId xmlns:a16="http://schemas.microsoft.com/office/drawing/2014/main" id="{980130CA-838E-4C55-AD21-1801D6AC8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0" name="Picture 1" descr="ALMASHRI_0">
          <a:extLst>
            <a:ext uri="{FF2B5EF4-FFF2-40B4-BE49-F238E27FC236}">
              <a16:creationId xmlns:a16="http://schemas.microsoft.com/office/drawing/2014/main" id="{FD13F561-68C2-44D2-AE06-EA72B374E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1" name="Picture 1" descr="ALMASHRI_0">
          <a:extLst>
            <a:ext uri="{FF2B5EF4-FFF2-40B4-BE49-F238E27FC236}">
              <a16:creationId xmlns:a16="http://schemas.microsoft.com/office/drawing/2014/main" id="{2F961173-F085-4626-8386-DC835F944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2" name="Picture 1" descr="ALMASHRI_0">
          <a:extLst>
            <a:ext uri="{FF2B5EF4-FFF2-40B4-BE49-F238E27FC236}">
              <a16:creationId xmlns:a16="http://schemas.microsoft.com/office/drawing/2014/main" id="{3D876452-453D-47C3-B11D-9DEECD2DC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3" name="Picture 1" descr="ALMASHRI_0">
          <a:extLst>
            <a:ext uri="{FF2B5EF4-FFF2-40B4-BE49-F238E27FC236}">
              <a16:creationId xmlns:a16="http://schemas.microsoft.com/office/drawing/2014/main" id="{30F25565-F315-4919-8815-862808A94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4" name="Picture 1" descr="ALMASHRI_0">
          <a:extLst>
            <a:ext uri="{FF2B5EF4-FFF2-40B4-BE49-F238E27FC236}">
              <a16:creationId xmlns:a16="http://schemas.microsoft.com/office/drawing/2014/main" id="{1504F70F-79BF-449F-80A9-ACD314D88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5" name="Picture 1" descr="ALMASHRI_0">
          <a:extLst>
            <a:ext uri="{FF2B5EF4-FFF2-40B4-BE49-F238E27FC236}">
              <a16:creationId xmlns:a16="http://schemas.microsoft.com/office/drawing/2014/main" id="{54F12EB6-ACDA-4E59-AA99-02F216B1C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6" name="Picture 1" descr="ALMASHRI_0">
          <a:extLst>
            <a:ext uri="{FF2B5EF4-FFF2-40B4-BE49-F238E27FC236}">
              <a16:creationId xmlns:a16="http://schemas.microsoft.com/office/drawing/2014/main" id="{C04D7B1A-03AD-4200-9289-C786503A0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7" name="Picture 1" descr="ALMASHRI_0">
          <a:extLst>
            <a:ext uri="{FF2B5EF4-FFF2-40B4-BE49-F238E27FC236}">
              <a16:creationId xmlns:a16="http://schemas.microsoft.com/office/drawing/2014/main" id="{34AEB2D9-8B78-4DC3-A3C1-0E0D2A057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8" name="Picture 1" descr="ALMASHRI_0">
          <a:extLst>
            <a:ext uri="{FF2B5EF4-FFF2-40B4-BE49-F238E27FC236}">
              <a16:creationId xmlns:a16="http://schemas.microsoft.com/office/drawing/2014/main" id="{E3B5A786-AB4E-4556-9CB4-19D09E9A7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39" name="Picture 1" descr="ALMASHRI_0">
          <a:extLst>
            <a:ext uri="{FF2B5EF4-FFF2-40B4-BE49-F238E27FC236}">
              <a16:creationId xmlns:a16="http://schemas.microsoft.com/office/drawing/2014/main" id="{FCCA1AFF-A957-462E-BE1E-FFF108CDF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0" name="Picture 1" descr="ALMASHRI_0">
          <a:extLst>
            <a:ext uri="{FF2B5EF4-FFF2-40B4-BE49-F238E27FC236}">
              <a16:creationId xmlns:a16="http://schemas.microsoft.com/office/drawing/2014/main" id="{CD2F1B7C-EDF3-4D79-A307-A559DC834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1" name="Picture 1" descr="ALMASHRI_0">
          <a:extLst>
            <a:ext uri="{FF2B5EF4-FFF2-40B4-BE49-F238E27FC236}">
              <a16:creationId xmlns:a16="http://schemas.microsoft.com/office/drawing/2014/main" id="{92944094-4994-4565-B3E9-01F974B81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2" name="Picture 1" descr="ALMASHRI_0">
          <a:extLst>
            <a:ext uri="{FF2B5EF4-FFF2-40B4-BE49-F238E27FC236}">
              <a16:creationId xmlns:a16="http://schemas.microsoft.com/office/drawing/2014/main" id="{A648E8E7-576D-42B4-B504-D72C4EC48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3" name="Picture 1" descr="ALMASHRI_0">
          <a:extLst>
            <a:ext uri="{FF2B5EF4-FFF2-40B4-BE49-F238E27FC236}">
              <a16:creationId xmlns:a16="http://schemas.microsoft.com/office/drawing/2014/main" id="{040FE960-F8E0-4B6E-97E3-9BD4C1D3D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4" name="Picture 1" descr="ALMASHRI_0">
          <a:extLst>
            <a:ext uri="{FF2B5EF4-FFF2-40B4-BE49-F238E27FC236}">
              <a16:creationId xmlns:a16="http://schemas.microsoft.com/office/drawing/2014/main" id="{96B6DCB3-30A1-40C8-B063-88CE74BF3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5" name="Picture 1" descr="ALMASHRI_0">
          <a:extLst>
            <a:ext uri="{FF2B5EF4-FFF2-40B4-BE49-F238E27FC236}">
              <a16:creationId xmlns:a16="http://schemas.microsoft.com/office/drawing/2014/main" id="{E7DC3815-54DF-4E20-95A0-07EA8D7C3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6" name="Picture 1" descr="ALMASHRI_0">
          <a:extLst>
            <a:ext uri="{FF2B5EF4-FFF2-40B4-BE49-F238E27FC236}">
              <a16:creationId xmlns:a16="http://schemas.microsoft.com/office/drawing/2014/main" id="{CB84DC4F-468E-4630-A51E-470293FD9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7" name="Picture 1" descr="ALMASHRI_0">
          <a:extLst>
            <a:ext uri="{FF2B5EF4-FFF2-40B4-BE49-F238E27FC236}">
              <a16:creationId xmlns:a16="http://schemas.microsoft.com/office/drawing/2014/main" id="{6366FF4E-C4DE-4EDC-8C66-1653122D9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8" name="Picture 1" descr="ALMASHRI_0">
          <a:extLst>
            <a:ext uri="{FF2B5EF4-FFF2-40B4-BE49-F238E27FC236}">
              <a16:creationId xmlns:a16="http://schemas.microsoft.com/office/drawing/2014/main" id="{E4F6D773-DF3C-4022-8E6D-33CF0CE49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49" name="Picture 1" descr="ALMASHRI_0">
          <a:extLst>
            <a:ext uri="{FF2B5EF4-FFF2-40B4-BE49-F238E27FC236}">
              <a16:creationId xmlns:a16="http://schemas.microsoft.com/office/drawing/2014/main" id="{7A65E482-86AB-4487-A8AE-9F28A7F7C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50" name="Picture 1" descr="ALMASHRI_0">
          <a:extLst>
            <a:ext uri="{FF2B5EF4-FFF2-40B4-BE49-F238E27FC236}">
              <a16:creationId xmlns:a16="http://schemas.microsoft.com/office/drawing/2014/main" id="{6C58709C-48F9-4913-8BD8-92734956E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51" name="Picture 1" descr="ALMASHRI_0">
          <a:extLst>
            <a:ext uri="{FF2B5EF4-FFF2-40B4-BE49-F238E27FC236}">
              <a16:creationId xmlns:a16="http://schemas.microsoft.com/office/drawing/2014/main" id="{8728B948-348E-4AD4-B58D-7F7A8EF3D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52" name="Picture 1" descr="ALMASHRI_0">
          <a:extLst>
            <a:ext uri="{FF2B5EF4-FFF2-40B4-BE49-F238E27FC236}">
              <a16:creationId xmlns:a16="http://schemas.microsoft.com/office/drawing/2014/main" id="{292E13A3-5B90-4DD1-B7CE-FA734A5F8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53" name="Picture 1" descr="ALMASHRI_0">
          <a:extLst>
            <a:ext uri="{FF2B5EF4-FFF2-40B4-BE49-F238E27FC236}">
              <a16:creationId xmlns:a16="http://schemas.microsoft.com/office/drawing/2014/main" id="{DBB3A615-8341-41DF-9579-050A92459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54" name="Picture 1" descr="ALMASHRI_0">
          <a:extLst>
            <a:ext uri="{FF2B5EF4-FFF2-40B4-BE49-F238E27FC236}">
              <a16:creationId xmlns:a16="http://schemas.microsoft.com/office/drawing/2014/main" id="{69C71AAF-6F0E-4105-B84F-EF7B3C85A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855" name="Picture 1" descr="ALMASHRI_0">
          <a:extLst>
            <a:ext uri="{FF2B5EF4-FFF2-40B4-BE49-F238E27FC236}">
              <a16:creationId xmlns:a16="http://schemas.microsoft.com/office/drawing/2014/main" id="{E2E9A7D8-2B9B-4463-8130-FFBB56067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56" name="Picture 1" descr="ALMASHRI_0">
          <a:extLst>
            <a:ext uri="{FF2B5EF4-FFF2-40B4-BE49-F238E27FC236}">
              <a16:creationId xmlns:a16="http://schemas.microsoft.com/office/drawing/2014/main" id="{643806EC-6AAF-46AB-9D82-32E090FA4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57" name="Picture 1" descr="ALMASHRI_0">
          <a:extLst>
            <a:ext uri="{FF2B5EF4-FFF2-40B4-BE49-F238E27FC236}">
              <a16:creationId xmlns:a16="http://schemas.microsoft.com/office/drawing/2014/main" id="{B0FBE738-EBDE-4578-AC6E-A69DCB152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58" name="Picture 1" descr="ALMASHRI_0">
          <a:extLst>
            <a:ext uri="{FF2B5EF4-FFF2-40B4-BE49-F238E27FC236}">
              <a16:creationId xmlns:a16="http://schemas.microsoft.com/office/drawing/2014/main" id="{9AAB59C3-E593-462F-B9A4-E795B7E65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59" name="Picture 1" descr="ALMASHRI_0">
          <a:extLst>
            <a:ext uri="{FF2B5EF4-FFF2-40B4-BE49-F238E27FC236}">
              <a16:creationId xmlns:a16="http://schemas.microsoft.com/office/drawing/2014/main" id="{C6A6198D-FB27-4E15-9E8E-FC9E40470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0" name="Picture 1" descr="ALMASHRI_0">
          <a:extLst>
            <a:ext uri="{FF2B5EF4-FFF2-40B4-BE49-F238E27FC236}">
              <a16:creationId xmlns:a16="http://schemas.microsoft.com/office/drawing/2014/main" id="{41B1F092-2161-46A5-BF29-200959EF4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1" name="Picture 1" descr="ALMASHRI_0">
          <a:extLst>
            <a:ext uri="{FF2B5EF4-FFF2-40B4-BE49-F238E27FC236}">
              <a16:creationId xmlns:a16="http://schemas.microsoft.com/office/drawing/2014/main" id="{08BA1768-1DAE-4139-B59C-17D3B1FCF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2" name="Picture 1" descr="ALMASHRI_0">
          <a:extLst>
            <a:ext uri="{FF2B5EF4-FFF2-40B4-BE49-F238E27FC236}">
              <a16:creationId xmlns:a16="http://schemas.microsoft.com/office/drawing/2014/main" id="{931194CA-8BFD-454E-888F-65E766402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3" name="Picture 1" descr="ALMASHRI_0">
          <a:extLst>
            <a:ext uri="{FF2B5EF4-FFF2-40B4-BE49-F238E27FC236}">
              <a16:creationId xmlns:a16="http://schemas.microsoft.com/office/drawing/2014/main" id="{987B0212-2365-4808-A03D-9D1464A18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4" name="Picture 1" descr="ALMASHRI_0">
          <a:extLst>
            <a:ext uri="{FF2B5EF4-FFF2-40B4-BE49-F238E27FC236}">
              <a16:creationId xmlns:a16="http://schemas.microsoft.com/office/drawing/2014/main" id="{FEA47951-ED00-4E33-B7AE-30D968809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5" name="Picture 1" descr="ALMASHRI_0">
          <a:extLst>
            <a:ext uri="{FF2B5EF4-FFF2-40B4-BE49-F238E27FC236}">
              <a16:creationId xmlns:a16="http://schemas.microsoft.com/office/drawing/2014/main" id="{BE622942-58D2-4B77-9C13-6124C7874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6" name="Picture 1" descr="ALMASHRI_0">
          <a:extLst>
            <a:ext uri="{FF2B5EF4-FFF2-40B4-BE49-F238E27FC236}">
              <a16:creationId xmlns:a16="http://schemas.microsoft.com/office/drawing/2014/main" id="{77EA814D-5D6A-4FC0-A625-FDC45BB21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7" name="Picture 1" descr="ALMASHRI_0">
          <a:extLst>
            <a:ext uri="{FF2B5EF4-FFF2-40B4-BE49-F238E27FC236}">
              <a16:creationId xmlns:a16="http://schemas.microsoft.com/office/drawing/2014/main" id="{22C36E9B-7405-4858-8C7A-0014C7F76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8" name="Picture 1" descr="ALMASHRI_0">
          <a:extLst>
            <a:ext uri="{FF2B5EF4-FFF2-40B4-BE49-F238E27FC236}">
              <a16:creationId xmlns:a16="http://schemas.microsoft.com/office/drawing/2014/main" id="{CA8B5D2E-F888-4650-A3F4-CC33424C7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69" name="Picture 1" descr="ALMASHRI_0">
          <a:extLst>
            <a:ext uri="{FF2B5EF4-FFF2-40B4-BE49-F238E27FC236}">
              <a16:creationId xmlns:a16="http://schemas.microsoft.com/office/drawing/2014/main" id="{498ACF4A-4856-4B15-A972-8BD834623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70" name="Picture 1" descr="ALMASHRI_0">
          <a:extLst>
            <a:ext uri="{FF2B5EF4-FFF2-40B4-BE49-F238E27FC236}">
              <a16:creationId xmlns:a16="http://schemas.microsoft.com/office/drawing/2014/main" id="{963FE524-6FF4-4D9D-8C08-6B6E15785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871" name="Picture 1" descr="ALMASHRI_0">
          <a:extLst>
            <a:ext uri="{FF2B5EF4-FFF2-40B4-BE49-F238E27FC236}">
              <a16:creationId xmlns:a16="http://schemas.microsoft.com/office/drawing/2014/main" id="{AE65219B-B9B0-4C4C-9344-5B27AE7A8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72" name="Picture 1" descr="ALMASHRI_0">
          <a:extLst>
            <a:ext uri="{FF2B5EF4-FFF2-40B4-BE49-F238E27FC236}">
              <a16:creationId xmlns:a16="http://schemas.microsoft.com/office/drawing/2014/main" id="{6D5300CD-6D6C-4829-ABAC-A102C711D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73" name="Picture 1" descr="ALMASHRI_0">
          <a:extLst>
            <a:ext uri="{FF2B5EF4-FFF2-40B4-BE49-F238E27FC236}">
              <a16:creationId xmlns:a16="http://schemas.microsoft.com/office/drawing/2014/main" id="{A1878184-E372-4B00-880D-AAE63317D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74" name="Picture 1" descr="ALMASHRI_0">
          <a:extLst>
            <a:ext uri="{FF2B5EF4-FFF2-40B4-BE49-F238E27FC236}">
              <a16:creationId xmlns:a16="http://schemas.microsoft.com/office/drawing/2014/main" id="{26BA79DD-5A97-450E-9500-E315843F1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75" name="Picture 1" descr="ALMASHRI_0">
          <a:extLst>
            <a:ext uri="{FF2B5EF4-FFF2-40B4-BE49-F238E27FC236}">
              <a16:creationId xmlns:a16="http://schemas.microsoft.com/office/drawing/2014/main" id="{9CE9698C-C25B-4942-B144-9FFF7A77A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76" name="Picture 1" descr="ALMASHRI_0">
          <a:extLst>
            <a:ext uri="{FF2B5EF4-FFF2-40B4-BE49-F238E27FC236}">
              <a16:creationId xmlns:a16="http://schemas.microsoft.com/office/drawing/2014/main" id="{BA6FE207-EC9B-413F-86F7-508F541FF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77" name="Picture 1" descr="ALMASHRI_0">
          <a:extLst>
            <a:ext uri="{FF2B5EF4-FFF2-40B4-BE49-F238E27FC236}">
              <a16:creationId xmlns:a16="http://schemas.microsoft.com/office/drawing/2014/main" id="{A2D327C4-53DD-480E-9247-C2A141379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78" name="Picture 1" descr="ALMASHRI_0">
          <a:extLst>
            <a:ext uri="{FF2B5EF4-FFF2-40B4-BE49-F238E27FC236}">
              <a16:creationId xmlns:a16="http://schemas.microsoft.com/office/drawing/2014/main" id="{7387C227-FD37-47C6-A8FA-401B69C25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79" name="Picture 1" descr="ALMASHRI_0">
          <a:extLst>
            <a:ext uri="{FF2B5EF4-FFF2-40B4-BE49-F238E27FC236}">
              <a16:creationId xmlns:a16="http://schemas.microsoft.com/office/drawing/2014/main" id="{126D5E22-EEA0-48D4-82D2-AA3CBC122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80" name="Picture 1" descr="ALMASHRI_0">
          <a:extLst>
            <a:ext uri="{FF2B5EF4-FFF2-40B4-BE49-F238E27FC236}">
              <a16:creationId xmlns:a16="http://schemas.microsoft.com/office/drawing/2014/main" id="{9115B8F6-EA2F-436C-BB22-49140D458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81" name="Picture 1" descr="ALMASHRI_0">
          <a:extLst>
            <a:ext uri="{FF2B5EF4-FFF2-40B4-BE49-F238E27FC236}">
              <a16:creationId xmlns:a16="http://schemas.microsoft.com/office/drawing/2014/main" id="{32684ACD-11DA-4774-815A-B2A436E77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82" name="Picture 1" descr="ALMASHRI_0">
          <a:extLst>
            <a:ext uri="{FF2B5EF4-FFF2-40B4-BE49-F238E27FC236}">
              <a16:creationId xmlns:a16="http://schemas.microsoft.com/office/drawing/2014/main" id="{A5836549-98B5-4388-9B7F-29DE5A206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83" name="Picture 1" descr="ALMASHRI_0">
          <a:extLst>
            <a:ext uri="{FF2B5EF4-FFF2-40B4-BE49-F238E27FC236}">
              <a16:creationId xmlns:a16="http://schemas.microsoft.com/office/drawing/2014/main" id="{B33B27F8-165E-4365-A192-AFC4A5C9A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84" name="Picture 1" descr="ALMASHRI_0">
          <a:extLst>
            <a:ext uri="{FF2B5EF4-FFF2-40B4-BE49-F238E27FC236}">
              <a16:creationId xmlns:a16="http://schemas.microsoft.com/office/drawing/2014/main" id="{AA8E455F-89F0-45BF-A8BF-4359D2E48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85" name="Picture 1" descr="ALMASHRI_0">
          <a:extLst>
            <a:ext uri="{FF2B5EF4-FFF2-40B4-BE49-F238E27FC236}">
              <a16:creationId xmlns:a16="http://schemas.microsoft.com/office/drawing/2014/main" id="{23C7DF06-7512-478E-8489-A4FD2C1C7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86" name="Picture 1" descr="ALMASHRI_0">
          <a:extLst>
            <a:ext uri="{FF2B5EF4-FFF2-40B4-BE49-F238E27FC236}">
              <a16:creationId xmlns:a16="http://schemas.microsoft.com/office/drawing/2014/main" id="{998CD3E8-8123-4409-83F2-CDDB63EB9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1887" name="Picture 1" descr="ALMASHRI_0">
          <a:extLst>
            <a:ext uri="{FF2B5EF4-FFF2-40B4-BE49-F238E27FC236}">
              <a16:creationId xmlns:a16="http://schemas.microsoft.com/office/drawing/2014/main" id="{1F08BF66-6CE6-4982-9271-3F13C4411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88" name="Picture 1" descr="ALMASHRI_0">
          <a:extLst>
            <a:ext uri="{FF2B5EF4-FFF2-40B4-BE49-F238E27FC236}">
              <a16:creationId xmlns:a16="http://schemas.microsoft.com/office/drawing/2014/main" id="{3160BA42-8412-4D6D-B62F-7C5713EA2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89" name="Picture 1" descr="ALMASHRI_0">
          <a:extLst>
            <a:ext uri="{FF2B5EF4-FFF2-40B4-BE49-F238E27FC236}">
              <a16:creationId xmlns:a16="http://schemas.microsoft.com/office/drawing/2014/main" id="{051D7032-2EB0-468B-A7A2-7687AE050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0" name="Picture 1" descr="ALMASHRI_0">
          <a:extLst>
            <a:ext uri="{FF2B5EF4-FFF2-40B4-BE49-F238E27FC236}">
              <a16:creationId xmlns:a16="http://schemas.microsoft.com/office/drawing/2014/main" id="{5F733FC5-A5DD-426A-8CC2-DD8A31CF4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1" name="Picture 1" descr="ALMASHRI_0">
          <a:extLst>
            <a:ext uri="{FF2B5EF4-FFF2-40B4-BE49-F238E27FC236}">
              <a16:creationId xmlns:a16="http://schemas.microsoft.com/office/drawing/2014/main" id="{DAAA843A-EE87-451B-8B0B-5F9453DB4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2" name="Picture 1" descr="ALMASHRI_0">
          <a:extLst>
            <a:ext uri="{FF2B5EF4-FFF2-40B4-BE49-F238E27FC236}">
              <a16:creationId xmlns:a16="http://schemas.microsoft.com/office/drawing/2014/main" id="{1CEB77B9-6550-4736-B784-55BC09367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3" name="Picture 1" descr="ALMASHRI_0">
          <a:extLst>
            <a:ext uri="{FF2B5EF4-FFF2-40B4-BE49-F238E27FC236}">
              <a16:creationId xmlns:a16="http://schemas.microsoft.com/office/drawing/2014/main" id="{6546EB1B-A3D0-4007-915C-A2E3D6CC1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4" name="Picture 1" descr="ALMASHRI_0">
          <a:extLst>
            <a:ext uri="{FF2B5EF4-FFF2-40B4-BE49-F238E27FC236}">
              <a16:creationId xmlns:a16="http://schemas.microsoft.com/office/drawing/2014/main" id="{BB16A249-2A65-4207-A3B3-C6873201D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5" name="Picture 1" descr="ALMASHRI_0">
          <a:extLst>
            <a:ext uri="{FF2B5EF4-FFF2-40B4-BE49-F238E27FC236}">
              <a16:creationId xmlns:a16="http://schemas.microsoft.com/office/drawing/2014/main" id="{BB221868-6A68-4DD6-AAAA-934F46644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6" name="Picture 1" descr="ALMASHRI_0">
          <a:extLst>
            <a:ext uri="{FF2B5EF4-FFF2-40B4-BE49-F238E27FC236}">
              <a16:creationId xmlns:a16="http://schemas.microsoft.com/office/drawing/2014/main" id="{8729AD41-E9C9-491D-9F42-6109FF7A13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7" name="Picture 1" descr="ALMASHRI_0">
          <a:extLst>
            <a:ext uri="{FF2B5EF4-FFF2-40B4-BE49-F238E27FC236}">
              <a16:creationId xmlns:a16="http://schemas.microsoft.com/office/drawing/2014/main" id="{23A30FD7-88C1-4992-B73D-F4F1FE247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8" name="Picture 1" descr="ALMASHRI_0">
          <a:extLst>
            <a:ext uri="{FF2B5EF4-FFF2-40B4-BE49-F238E27FC236}">
              <a16:creationId xmlns:a16="http://schemas.microsoft.com/office/drawing/2014/main" id="{1DFBC22F-0CC9-4FE2-ADC8-7DE496950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899" name="Picture 1" descr="ALMASHRI_0">
          <a:extLst>
            <a:ext uri="{FF2B5EF4-FFF2-40B4-BE49-F238E27FC236}">
              <a16:creationId xmlns:a16="http://schemas.microsoft.com/office/drawing/2014/main" id="{E4F65B78-1F6D-4B8A-9D19-C61B8CED3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00" name="Picture 1" descr="ALMASHRI_0">
          <a:extLst>
            <a:ext uri="{FF2B5EF4-FFF2-40B4-BE49-F238E27FC236}">
              <a16:creationId xmlns:a16="http://schemas.microsoft.com/office/drawing/2014/main" id="{33571A66-95DA-4F15-ACD6-1A272B9A9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01" name="Picture 1" descr="ALMASHRI_0">
          <a:extLst>
            <a:ext uri="{FF2B5EF4-FFF2-40B4-BE49-F238E27FC236}">
              <a16:creationId xmlns:a16="http://schemas.microsoft.com/office/drawing/2014/main" id="{FCF76CC3-61CB-415D-937E-44C991989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02" name="Picture 1" descr="ALMASHRI_0">
          <a:extLst>
            <a:ext uri="{FF2B5EF4-FFF2-40B4-BE49-F238E27FC236}">
              <a16:creationId xmlns:a16="http://schemas.microsoft.com/office/drawing/2014/main" id="{E740F4AB-4D73-4170-A166-4C6F8EC7E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03" name="Picture 1" descr="ALMASHRI_0">
          <a:extLst>
            <a:ext uri="{FF2B5EF4-FFF2-40B4-BE49-F238E27FC236}">
              <a16:creationId xmlns:a16="http://schemas.microsoft.com/office/drawing/2014/main" id="{B5879EDB-B9CB-425C-B1C9-349738D7C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04" name="Picture 1" descr="ALMASHRI_0">
          <a:extLst>
            <a:ext uri="{FF2B5EF4-FFF2-40B4-BE49-F238E27FC236}">
              <a16:creationId xmlns:a16="http://schemas.microsoft.com/office/drawing/2014/main" id="{6EFB3A76-3AA4-401F-B23C-E122B14D3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05" name="Picture 1" descr="ALMASHRI_0">
          <a:extLst>
            <a:ext uri="{FF2B5EF4-FFF2-40B4-BE49-F238E27FC236}">
              <a16:creationId xmlns:a16="http://schemas.microsoft.com/office/drawing/2014/main" id="{EB91A5A2-5238-4532-8E2D-E92501B8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06" name="Picture 1" descr="ALMASHRI_0">
          <a:extLst>
            <a:ext uri="{FF2B5EF4-FFF2-40B4-BE49-F238E27FC236}">
              <a16:creationId xmlns:a16="http://schemas.microsoft.com/office/drawing/2014/main" id="{ECB6D9AC-3AD7-450E-95B6-4DAC76F01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07" name="Picture 1" descr="ALMASHRI_0">
          <a:extLst>
            <a:ext uri="{FF2B5EF4-FFF2-40B4-BE49-F238E27FC236}">
              <a16:creationId xmlns:a16="http://schemas.microsoft.com/office/drawing/2014/main" id="{36F217D7-3026-401B-BBCA-BD992502F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08" name="Picture 1" descr="ALMASHRI_0">
          <a:extLst>
            <a:ext uri="{FF2B5EF4-FFF2-40B4-BE49-F238E27FC236}">
              <a16:creationId xmlns:a16="http://schemas.microsoft.com/office/drawing/2014/main" id="{7FB053CA-241D-4774-B6B5-74A16C2FB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09" name="Picture 1" descr="ALMASHRI_0">
          <a:extLst>
            <a:ext uri="{FF2B5EF4-FFF2-40B4-BE49-F238E27FC236}">
              <a16:creationId xmlns:a16="http://schemas.microsoft.com/office/drawing/2014/main" id="{2120B104-9268-484A-A99E-BEC799585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0" name="Picture 1" descr="ALMASHRI_0">
          <a:extLst>
            <a:ext uri="{FF2B5EF4-FFF2-40B4-BE49-F238E27FC236}">
              <a16:creationId xmlns:a16="http://schemas.microsoft.com/office/drawing/2014/main" id="{24B1B178-D954-42F9-A798-1AED33BD9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1" name="Picture 1" descr="ALMASHRI_0">
          <a:extLst>
            <a:ext uri="{FF2B5EF4-FFF2-40B4-BE49-F238E27FC236}">
              <a16:creationId xmlns:a16="http://schemas.microsoft.com/office/drawing/2014/main" id="{F7AFDE9E-DD02-43D8-87D0-0075734C8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2" name="Picture 1" descr="ALMASHRI_0">
          <a:extLst>
            <a:ext uri="{FF2B5EF4-FFF2-40B4-BE49-F238E27FC236}">
              <a16:creationId xmlns:a16="http://schemas.microsoft.com/office/drawing/2014/main" id="{8B4E8BCE-C770-47DB-A933-28A3E7B95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3" name="Picture 1" descr="ALMASHRI_0">
          <a:extLst>
            <a:ext uri="{FF2B5EF4-FFF2-40B4-BE49-F238E27FC236}">
              <a16:creationId xmlns:a16="http://schemas.microsoft.com/office/drawing/2014/main" id="{6EC9003E-F329-4B52-B43A-AEA39A966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4" name="Picture 1" descr="ALMASHRI_0">
          <a:extLst>
            <a:ext uri="{FF2B5EF4-FFF2-40B4-BE49-F238E27FC236}">
              <a16:creationId xmlns:a16="http://schemas.microsoft.com/office/drawing/2014/main" id="{E61320F0-F8E1-41CE-B4D0-52B1AEEE2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5" name="Picture 1" descr="ALMASHRI_0">
          <a:extLst>
            <a:ext uri="{FF2B5EF4-FFF2-40B4-BE49-F238E27FC236}">
              <a16:creationId xmlns:a16="http://schemas.microsoft.com/office/drawing/2014/main" id="{B96C7897-3BCE-4A62-B702-F4CD22B57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6" name="Picture 1" descr="ALMASHRI_0">
          <a:extLst>
            <a:ext uri="{FF2B5EF4-FFF2-40B4-BE49-F238E27FC236}">
              <a16:creationId xmlns:a16="http://schemas.microsoft.com/office/drawing/2014/main" id="{DE15D66E-3337-40DB-8DDD-6D2816517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7" name="Picture 1" descr="ALMASHRI_0">
          <a:extLst>
            <a:ext uri="{FF2B5EF4-FFF2-40B4-BE49-F238E27FC236}">
              <a16:creationId xmlns:a16="http://schemas.microsoft.com/office/drawing/2014/main" id="{AA2429C0-6FAF-4CA4-A688-7FA311495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8" name="Picture 1" descr="ALMASHRI_0">
          <a:extLst>
            <a:ext uri="{FF2B5EF4-FFF2-40B4-BE49-F238E27FC236}">
              <a16:creationId xmlns:a16="http://schemas.microsoft.com/office/drawing/2014/main" id="{126867BE-D9B8-4841-B326-3A7DB9BA0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19" name="Picture 1" descr="ALMASHRI_0">
          <a:extLst>
            <a:ext uri="{FF2B5EF4-FFF2-40B4-BE49-F238E27FC236}">
              <a16:creationId xmlns:a16="http://schemas.microsoft.com/office/drawing/2014/main" id="{F8582280-F958-4A8B-A2BA-9D2253968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0" name="Picture 1" descr="ALMASHRI_0">
          <a:extLst>
            <a:ext uri="{FF2B5EF4-FFF2-40B4-BE49-F238E27FC236}">
              <a16:creationId xmlns:a16="http://schemas.microsoft.com/office/drawing/2014/main" id="{5B7D5EBC-D96C-4785-98DA-A1FF3C789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1" name="Picture 1" descr="ALMASHRI_0">
          <a:extLst>
            <a:ext uri="{FF2B5EF4-FFF2-40B4-BE49-F238E27FC236}">
              <a16:creationId xmlns:a16="http://schemas.microsoft.com/office/drawing/2014/main" id="{DEA79E56-04BD-439A-9BDC-AFE8A75B1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2" name="Picture 1" descr="ALMASHRI_0">
          <a:extLst>
            <a:ext uri="{FF2B5EF4-FFF2-40B4-BE49-F238E27FC236}">
              <a16:creationId xmlns:a16="http://schemas.microsoft.com/office/drawing/2014/main" id="{1013C016-0924-4465-A30C-DEE6D7388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3" name="Picture 1" descr="ALMASHRI_0">
          <a:extLst>
            <a:ext uri="{FF2B5EF4-FFF2-40B4-BE49-F238E27FC236}">
              <a16:creationId xmlns:a16="http://schemas.microsoft.com/office/drawing/2014/main" id="{5527CD78-E2B5-4FCD-B444-4BA54C8E7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4" name="Picture 1" descr="ALMASHRI_0">
          <a:extLst>
            <a:ext uri="{FF2B5EF4-FFF2-40B4-BE49-F238E27FC236}">
              <a16:creationId xmlns:a16="http://schemas.microsoft.com/office/drawing/2014/main" id="{A4F1964B-7BF4-478E-A566-4A0C426E6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5" name="Picture 1" descr="ALMASHRI_0">
          <a:extLst>
            <a:ext uri="{FF2B5EF4-FFF2-40B4-BE49-F238E27FC236}">
              <a16:creationId xmlns:a16="http://schemas.microsoft.com/office/drawing/2014/main" id="{E3B23D63-4F37-4168-971B-9099F9829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6" name="Picture 1" descr="ALMASHRI_0">
          <a:extLst>
            <a:ext uri="{FF2B5EF4-FFF2-40B4-BE49-F238E27FC236}">
              <a16:creationId xmlns:a16="http://schemas.microsoft.com/office/drawing/2014/main" id="{DF78A1AD-6AB2-4847-8380-EE7866C41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7" name="Picture 1" descr="ALMASHRI_0">
          <a:extLst>
            <a:ext uri="{FF2B5EF4-FFF2-40B4-BE49-F238E27FC236}">
              <a16:creationId xmlns:a16="http://schemas.microsoft.com/office/drawing/2014/main" id="{41AEB947-DF67-418A-BD40-974524C40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8" name="Picture 1" descr="ALMASHRI_0">
          <a:extLst>
            <a:ext uri="{FF2B5EF4-FFF2-40B4-BE49-F238E27FC236}">
              <a16:creationId xmlns:a16="http://schemas.microsoft.com/office/drawing/2014/main" id="{0735DE26-B13A-4DDC-9AE9-909368E33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29" name="Picture 1" descr="ALMASHRI_0">
          <a:extLst>
            <a:ext uri="{FF2B5EF4-FFF2-40B4-BE49-F238E27FC236}">
              <a16:creationId xmlns:a16="http://schemas.microsoft.com/office/drawing/2014/main" id="{C68A420F-546E-4117-AEE0-F91658C64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30" name="Picture 1" descr="ALMASHRI_0">
          <a:extLst>
            <a:ext uri="{FF2B5EF4-FFF2-40B4-BE49-F238E27FC236}">
              <a16:creationId xmlns:a16="http://schemas.microsoft.com/office/drawing/2014/main" id="{2FA99EE7-5AEA-4E9B-B7A3-B11E22DE9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31" name="Picture 1" descr="ALMASHRI_0">
          <a:extLst>
            <a:ext uri="{FF2B5EF4-FFF2-40B4-BE49-F238E27FC236}">
              <a16:creationId xmlns:a16="http://schemas.microsoft.com/office/drawing/2014/main" id="{2924754B-4D2D-46E6-B817-4CD3F4A3E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32" name="Picture 1" descr="ALMASHRI_0">
          <a:extLst>
            <a:ext uri="{FF2B5EF4-FFF2-40B4-BE49-F238E27FC236}">
              <a16:creationId xmlns:a16="http://schemas.microsoft.com/office/drawing/2014/main" id="{894E5787-3A54-4F63-8F93-F95EBCA84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33" name="Picture 1" descr="ALMASHRI_0">
          <a:extLst>
            <a:ext uri="{FF2B5EF4-FFF2-40B4-BE49-F238E27FC236}">
              <a16:creationId xmlns:a16="http://schemas.microsoft.com/office/drawing/2014/main" id="{07D61851-8FDD-4CE0-9471-B81186D14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34" name="Picture 1" descr="ALMASHRI_0">
          <a:extLst>
            <a:ext uri="{FF2B5EF4-FFF2-40B4-BE49-F238E27FC236}">
              <a16:creationId xmlns:a16="http://schemas.microsoft.com/office/drawing/2014/main" id="{2D181A5B-332D-4EFF-9FCB-AE4717C31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1000"/>
    <xdr:pic>
      <xdr:nvPicPr>
        <xdr:cNvPr id="1935" name="Picture 1" descr="ALMASHRI_0">
          <a:extLst>
            <a:ext uri="{FF2B5EF4-FFF2-40B4-BE49-F238E27FC236}">
              <a16:creationId xmlns:a16="http://schemas.microsoft.com/office/drawing/2014/main" id="{AA41CB0E-5BAF-4C57-8C7E-33A34532B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36" name="Picture 1" descr="ALMASHRI_0">
          <a:extLst>
            <a:ext uri="{FF2B5EF4-FFF2-40B4-BE49-F238E27FC236}">
              <a16:creationId xmlns:a16="http://schemas.microsoft.com/office/drawing/2014/main" id="{A447E6F8-B3CA-4E3B-9314-B8A4EA60E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37" name="Picture 1" descr="ALMASHRI_0">
          <a:extLst>
            <a:ext uri="{FF2B5EF4-FFF2-40B4-BE49-F238E27FC236}">
              <a16:creationId xmlns:a16="http://schemas.microsoft.com/office/drawing/2014/main" id="{C20025C3-2DCE-4844-BAF3-58FBEB376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38" name="Picture 1" descr="ALMASHRI_0">
          <a:extLst>
            <a:ext uri="{FF2B5EF4-FFF2-40B4-BE49-F238E27FC236}">
              <a16:creationId xmlns:a16="http://schemas.microsoft.com/office/drawing/2014/main" id="{3E3AC526-ADD3-4F75-AB29-80B4A0C86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39" name="Picture 1" descr="ALMASHRI_0">
          <a:extLst>
            <a:ext uri="{FF2B5EF4-FFF2-40B4-BE49-F238E27FC236}">
              <a16:creationId xmlns:a16="http://schemas.microsoft.com/office/drawing/2014/main" id="{B242EE06-F6EB-4946-87A7-14C6D48FE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0" name="Picture 1" descr="ALMASHRI_0">
          <a:extLst>
            <a:ext uri="{FF2B5EF4-FFF2-40B4-BE49-F238E27FC236}">
              <a16:creationId xmlns:a16="http://schemas.microsoft.com/office/drawing/2014/main" id="{DB0069B4-A1D6-4161-9599-653520188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1" name="Picture 1" descr="ALMASHRI_0">
          <a:extLst>
            <a:ext uri="{FF2B5EF4-FFF2-40B4-BE49-F238E27FC236}">
              <a16:creationId xmlns:a16="http://schemas.microsoft.com/office/drawing/2014/main" id="{F46C1EA2-A23D-487F-9300-EDF855204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2" name="Picture 1" descr="ALMASHRI_0">
          <a:extLst>
            <a:ext uri="{FF2B5EF4-FFF2-40B4-BE49-F238E27FC236}">
              <a16:creationId xmlns:a16="http://schemas.microsoft.com/office/drawing/2014/main" id="{030E58C0-A5F4-453B-88E7-BB8677BCA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3" name="Picture 1" descr="ALMASHRI_0">
          <a:extLst>
            <a:ext uri="{FF2B5EF4-FFF2-40B4-BE49-F238E27FC236}">
              <a16:creationId xmlns:a16="http://schemas.microsoft.com/office/drawing/2014/main" id="{2E457995-D422-4604-97BF-7F37ED3DB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4" name="Picture 1" descr="ALMASHRI_0">
          <a:extLst>
            <a:ext uri="{FF2B5EF4-FFF2-40B4-BE49-F238E27FC236}">
              <a16:creationId xmlns:a16="http://schemas.microsoft.com/office/drawing/2014/main" id="{0CC1E396-717E-4809-A7F4-083E3A37B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5" name="Picture 1" descr="ALMASHRI_0">
          <a:extLst>
            <a:ext uri="{FF2B5EF4-FFF2-40B4-BE49-F238E27FC236}">
              <a16:creationId xmlns:a16="http://schemas.microsoft.com/office/drawing/2014/main" id="{BF1262FA-0C96-482B-8E9D-163EEFB64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6" name="Picture 1" descr="ALMASHRI_0">
          <a:extLst>
            <a:ext uri="{FF2B5EF4-FFF2-40B4-BE49-F238E27FC236}">
              <a16:creationId xmlns:a16="http://schemas.microsoft.com/office/drawing/2014/main" id="{1B550315-ED55-4C1D-BF2C-C1C8E6BB2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7" name="Picture 1" descr="ALMASHRI_0">
          <a:extLst>
            <a:ext uri="{FF2B5EF4-FFF2-40B4-BE49-F238E27FC236}">
              <a16:creationId xmlns:a16="http://schemas.microsoft.com/office/drawing/2014/main" id="{F30C6599-92EA-45EC-AF44-8B47D4B5D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8" name="Picture 1" descr="ALMASHRI_0">
          <a:extLst>
            <a:ext uri="{FF2B5EF4-FFF2-40B4-BE49-F238E27FC236}">
              <a16:creationId xmlns:a16="http://schemas.microsoft.com/office/drawing/2014/main" id="{E1167E66-2B6C-4A3C-A352-BF2DC7813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49" name="Picture 1" descr="ALMASHRI_0">
          <a:extLst>
            <a:ext uri="{FF2B5EF4-FFF2-40B4-BE49-F238E27FC236}">
              <a16:creationId xmlns:a16="http://schemas.microsoft.com/office/drawing/2014/main" id="{DF3D8DED-FF9B-4016-AA40-2418B6F47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50" name="Picture 1" descr="ALMASHRI_0">
          <a:extLst>
            <a:ext uri="{FF2B5EF4-FFF2-40B4-BE49-F238E27FC236}">
              <a16:creationId xmlns:a16="http://schemas.microsoft.com/office/drawing/2014/main" id="{021A077C-B250-43C6-8112-0E5945782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56235"/>
    <xdr:pic>
      <xdr:nvPicPr>
        <xdr:cNvPr id="1951" name="Picture 1" descr="ALMASHRI_0">
          <a:extLst>
            <a:ext uri="{FF2B5EF4-FFF2-40B4-BE49-F238E27FC236}">
              <a16:creationId xmlns:a16="http://schemas.microsoft.com/office/drawing/2014/main" id="{8869A27E-09B8-4B58-B7B4-C178FF5B5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52" name="Picture 1" descr="ALMASHRI_0">
          <a:extLst>
            <a:ext uri="{FF2B5EF4-FFF2-40B4-BE49-F238E27FC236}">
              <a16:creationId xmlns:a16="http://schemas.microsoft.com/office/drawing/2014/main" id="{258F8660-FB0A-402C-B0FF-B37247D03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53" name="Picture 1" descr="ALMASHRI_0">
          <a:extLst>
            <a:ext uri="{FF2B5EF4-FFF2-40B4-BE49-F238E27FC236}">
              <a16:creationId xmlns:a16="http://schemas.microsoft.com/office/drawing/2014/main" id="{AEDEC121-E229-43F6-B6A5-4C27206D4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54" name="Picture 1" descr="ALMASHRI_0">
          <a:extLst>
            <a:ext uri="{FF2B5EF4-FFF2-40B4-BE49-F238E27FC236}">
              <a16:creationId xmlns:a16="http://schemas.microsoft.com/office/drawing/2014/main" id="{D090EEC5-7BD8-4F0C-864F-512E51B12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55" name="Picture 1" descr="ALMASHRI_0">
          <a:extLst>
            <a:ext uri="{FF2B5EF4-FFF2-40B4-BE49-F238E27FC236}">
              <a16:creationId xmlns:a16="http://schemas.microsoft.com/office/drawing/2014/main" id="{AB43A352-659E-4831-99C2-019B72049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56" name="Picture 1" descr="ALMASHRI_0">
          <a:extLst>
            <a:ext uri="{FF2B5EF4-FFF2-40B4-BE49-F238E27FC236}">
              <a16:creationId xmlns:a16="http://schemas.microsoft.com/office/drawing/2014/main" id="{706B8DF0-0469-46CF-A336-F989DC5B6E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57" name="Picture 1" descr="ALMASHRI_0">
          <a:extLst>
            <a:ext uri="{FF2B5EF4-FFF2-40B4-BE49-F238E27FC236}">
              <a16:creationId xmlns:a16="http://schemas.microsoft.com/office/drawing/2014/main" id="{30D9730E-E05B-4A02-B7D9-7F22A97A1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58" name="Picture 1" descr="ALMASHRI_0">
          <a:extLst>
            <a:ext uri="{FF2B5EF4-FFF2-40B4-BE49-F238E27FC236}">
              <a16:creationId xmlns:a16="http://schemas.microsoft.com/office/drawing/2014/main" id="{4155622F-AFD5-402D-9032-7F1543A21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59" name="Picture 1" descr="ALMASHRI_0">
          <a:extLst>
            <a:ext uri="{FF2B5EF4-FFF2-40B4-BE49-F238E27FC236}">
              <a16:creationId xmlns:a16="http://schemas.microsoft.com/office/drawing/2014/main" id="{A56610AD-B0CB-49B4-980F-C6916C4D4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60" name="Picture 1" descr="ALMASHRI_0">
          <a:extLst>
            <a:ext uri="{FF2B5EF4-FFF2-40B4-BE49-F238E27FC236}">
              <a16:creationId xmlns:a16="http://schemas.microsoft.com/office/drawing/2014/main" id="{1008C929-7BFD-4C0E-999E-BA6F0258B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61" name="Picture 1" descr="ALMASHRI_0">
          <a:extLst>
            <a:ext uri="{FF2B5EF4-FFF2-40B4-BE49-F238E27FC236}">
              <a16:creationId xmlns:a16="http://schemas.microsoft.com/office/drawing/2014/main" id="{D75BC178-879F-4ED7-8C4D-BDA1DF695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62" name="Picture 1" descr="ALMASHRI_0">
          <a:extLst>
            <a:ext uri="{FF2B5EF4-FFF2-40B4-BE49-F238E27FC236}">
              <a16:creationId xmlns:a16="http://schemas.microsoft.com/office/drawing/2014/main" id="{1A0F63D0-2DE5-4143-BD0E-57317DE8F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63" name="Picture 1" descr="ALMASHRI_0">
          <a:extLst>
            <a:ext uri="{FF2B5EF4-FFF2-40B4-BE49-F238E27FC236}">
              <a16:creationId xmlns:a16="http://schemas.microsoft.com/office/drawing/2014/main" id="{DEB16BB7-42D1-4F3A-8398-508D05974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64" name="Picture 1" descr="ALMASHRI_0">
          <a:extLst>
            <a:ext uri="{FF2B5EF4-FFF2-40B4-BE49-F238E27FC236}">
              <a16:creationId xmlns:a16="http://schemas.microsoft.com/office/drawing/2014/main" id="{F47F92B6-DC72-416C-9162-99A357FFE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65" name="Picture 1" descr="ALMASHRI_0">
          <a:extLst>
            <a:ext uri="{FF2B5EF4-FFF2-40B4-BE49-F238E27FC236}">
              <a16:creationId xmlns:a16="http://schemas.microsoft.com/office/drawing/2014/main" id="{6B432C99-D45C-487F-B7B6-84B413CE2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66" name="Picture 1" descr="ALMASHRI_0">
          <a:extLst>
            <a:ext uri="{FF2B5EF4-FFF2-40B4-BE49-F238E27FC236}">
              <a16:creationId xmlns:a16="http://schemas.microsoft.com/office/drawing/2014/main" id="{16A5BA8C-0E3B-4480-A962-E79CD4F68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1967" name="Picture 1" descr="ALMASHRI_0">
          <a:extLst>
            <a:ext uri="{FF2B5EF4-FFF2-40B4-BE49-F238E27FC236}">
              <a16:creationId xmlns:a16="http://schemas.microsoft.com/office/drawing/2014/main" id="{DA6B8063-BAD0-4F3E-A88F-397951CA8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68" name="Picture 1" descr="ALMASHRI_0">
          <a:extLst>
            <a:ext uri="{FF2B5EF4-FFF2-40B4-BE49-F238E27FC236}">
              <a16:creationId xmlns:a16="http://schemas.microsoft.com/office/drawing/2014/main" id="{D6488D36-CB9E-478B-910B-6F4785E8B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69" name="Picture 1" descr="ALMASHRI_0">
          <a:extLst>
            <a:ext uri="{FF2B5EF4-FFF2-40B4-BE49-F238E27FC236}">
              <a16:creationId xmlns:a16="http://schemas.microsoft.com/office/drawing/2014/main" id="{63B6F1E3-279A-4A84-9ED5-D7F22D67C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0" name="Picture 1" descr="ALMASHRI_0">
          <a:extLst>
            <a:ext uri="{FF2B5EF4-FFF2-40B4-BE49-F238E27FC236}">
              <a16:creationId xmlns:a16="http://schemas.microsoft.com/office/drawing/2014/main" id="{BA1ABCB2-48B9-43E9-A8A5-E6EEC09A7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1" name="Picture 1" descr="ALMASHRI_0">
          <a:extLst>
            <a:ext uri="{FF2B5EF4-FFF2-40B4-BE49-F238E27FC236}">
              <a16:creationId xmlns:a16="http://schemas.microsoft.com/office/drawing/2014/main" id="{74FF313A-92FA-4FCC-BA48-823E36832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2" name="Picture 1" descr="ALMASHRI_0">
          <a:extLst>
            <a:ext uri="{FF2B5EF4-FFF2-40B4-BE49-F238E27FC236}">
              <a16:creationId xmlns:a16="http://schemas.microsoft.com/office/drawing/2014/main" id="{61575406-D6E0-4205-A4FF-3BE4E7415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3" name="Picture 1" descr="ALMASHRI_0">
          <a:extLst>
            <a:ext uri="{FF2B5EF4-FFF2-40B4-BE49-F238E27FC236}">
              <a16:creationId xmlns:a16="http://schemas.microsoft.com/office/drawing/2014/main" id="{EB44B69C-3656-4BD7-BFA6-59B295BA4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4" name="Picture 1" descr="ALMASHRI_0">
          <a:extLst>
            <a:ext uri="{FF2B5EF4-FFF2-40B4-BE49-F238E27FC236}">
              <a16:creationId xmlns:a16="http://schemas.microsoft.com/office/drawing/2014/main" id="{C9FCBA92-E340-437A-989F-69E030CA7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5" name="Picture 1" descr="ALMASHRI_0">
          <a:extLst>
            <a:ext uri="{FF2B5EF4-FFF2-40B4-BE49-F238E27FC236}">
              <a16:creationId xmlns:a16="http://schemas.microsoft.com/office/drawing/2014/main" id="{03170492-FBCD-4C46-986E-97BC015FC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6" name="Picture 1" descr="ALMASHRI_0">
          <a:extLst>
            <a:ext uri="{FF2B5EF4-FFF2-40B4-BE49-F238E27FC236}">
              <a16:creationId xmlns:a16="http://schemas.microsoft.com/office/drawing/2014/main" id="{154A0D2F-1FDF-41CB-A3EA-66D972245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7" name="Picture 1" descr="ALMASHRI_0">
          <a:extLst>
            <a:ext uri="{FF2B5EF4-FFF2-40B4-BE49-F238E27FC236}">
              <a16:creationId xmlns:a16="http://schemas.microsoft.com/office/drawing/2014/main" id="{61C29C54-917F-49A5-A295-67C5DA322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8" name="Picture 1" descr="ALMASHRI_0">
          <a:extLst>
            <a:ext uri="{FF2B5EF4-FFF2-40B4-BE49-F238E27FC236}">
              <a16:creationId xmlns:a16="http://schemas.microsoft.com/office/drawing/2014/main" id="{908DF548-2BB4-4568-B534-9DE2A59F3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79" name="Picture 1" descr="ALMASHRI_0">
          <a:extLst>
            <a:ext uri="{FF2B5EF4-FFF2-40B4-BE49-F238E27FC236}">
              <a16:creationId xmlns:a16="http://schemas.microsoft.com/office/drawing/2014/main" id="{D82261FD-0070-4D6F-8AA9-62185AEBE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80" name="Picture 1" descr="ALMASHRI_0">
          <a:extLst>
            <a:ext uri="{FF2B5EF4-FFF2-40B4-BE49-F238E27FC236}">
              <a16:creationId xmlns:a16="http://schemas.microsoft.com/office/drawing/2014/main" id="{F3451A20-5D92-4381-BE2A-91F1618C4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81" name="Picture 1" descr="ALMASHRI_0">
          <a:extLst>
            <a:ext uri="{FF2B5EF4-FFF2-40B4-BE49-F238E27FC236}">
              <a16:creationId xmlns:a16="http://schemas.microsoft.com/office/drawing/2014/main" id="{258632F1-F61D-4BD1-B52F-E59CD7634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82" name="Picture 1" descr="ALMASHRI_0">
          <a:extLst>
            <a:ext uri="{FF2B5EF4-FFF2-40B4-BE49-F238E27FC236}">
              <a16:creationId xmlns:a16="http://schemas.microsoft.com/office/drawing/2014/main" id="{04C2CA7C-C9C3-4D1B-A83C-EC3CA8099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1983" name="Picture 1" descr="ALMASHRI_0">
          <a:extLst>
            <a:ext uri="{FF2B5EF4-FFF2-40B4-BE49-F238E27FC236}">
              <a16:creationId xmlns:a16="http://schemas.microsoft.com/office/drawing/2014/main" id="{23F712BA-3525-4477-A116-586F1E070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84" name="Picture 1" descr="ALMASHRI_0">
          <a:extLst>
            <a:ext uri="{FF2B5EF4-FFF2-40B4-BE49-F238E27FC236}">
              <a16:creationId xmlns:a16="http://schemas.microsoft.com/office/drawing/2014/main" id="{7ED46C2D-2687-4673-B5B7-1F7E531C8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85" name="Picture 1" descr="ALMASHRI_0">
          <a:extLst>
            <a:ext uri="{FF2B5EF4-FFF2-40B4-BE49-F238E27FC236}">
              <a16:creationId xmlns:a16="http://schemas.microsoft.com/office/drawing/2014/main" id="{D4756482-D47F-472A-8EBB-71078F117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86" name="Picture 1" descr="ALMASHRI_0">
          <a:extLst>
            <a:ext uri="{FF2B5EF4-FFF2-40B4-BE49-F238E27FC236}">
              <a16:creationId xmlns:a16="http://schemas.microsoft.com/office/drawing/2014/main" id="{DB553B22-3143-4852-B5AC-C218BF5A6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87" name="Picture 1" descr="ALMASHRI_0">
          <a:extLst>
            <a:ext uri="{FF2B5EF4-FFF2-40B4-BE49-F238E27FC236}">
              <a16:creationId xmlns:a16="http://schemas.microsoft.com/office/drawing/2014/main" id="{EB69193D-B957-435E-B870-2857CAFDB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88" name="Picture 1" descr="ALMASHRI_0">
          <a:extLst>
            <a:ext uri="{FF2B5EF4-FFF2-40B4-BE49-F238E27FC236}">
              <a16:creationId xmlns:a16="http://schemas.microsoft.com/office/drawing/2014/main" id="{F34A09B7-CF0C-4766-8139-51BB1BACD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89" name="Picture 1" descr="ALMASHRI_0">
          <a:extLst>
            <a:ext uri="{FF2B5EF4-FFF2-40B4-BE49-F238E27FC236}">
              <a16:creationId xmlns:a16="http://schemas.microsoft.com/office/drawing/2014/main" id="{974FB3FA-26C6-4061-A46A-D6A7678DB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0" name="Picture 1" descr="ALMASHRI_0">
          <a:extLst>
            <a:ext uri="{FF2B5EF4-FFF2-40B4-BE49-F238E27FC236}">
              <a16:creationId xmlns:a16="http://schemas.microsoft.com/office/drawing/2014/main" id="{CAE12CF3-732F-4190-8E21-C00C0CDF6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1" name="Picture 1" descr="ALMASHRI_0">
          <a:extLst>
            <a:ext uri="{FF2B5EF4-FFF2-40B4-BE49-F238E27FC236}">
              <a16:creationId xmlns:a16="http://schemas.microsoft.com/office/drawing/2014/main" id="{2A32A9CD-B6A6-4033-9EFB-FA211C2E0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2" name="Picture 1" descr="ALMASHRI_0">
          <a:extLst>
            <a:ext uri="{FF2B5EF4-FFF2-40B4-BE49-F238E27FC236}">
              <a16:creationId xmlns:a16="http://schemas.microsoft.com/office/drawing/2014/main" id="{2020B447-3A37-4C1F-A244-01466AC77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3" name="Picture 1" descr="ALMASHRI_0">
          <a:extLst>
            <a:ext uri="{FF2B5EF4-FFF2-40B4-BE49-F238E27FC236}">
              <a16:creationId xmlns:a16="http://schemas.microsoft.com/office/drawing/2014/main" id="{C42C661A-4D6A-471B-9D07-577BC44E0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4" name="Picture 1" descr="ALMASHRI_0">
          <a:extLst>
            <a:ext uri="{FF2B5EF4-FFF2-40B4-BE49-F238E27FC236}">
              <a16:creationId xmlns:a16="http://schemas.microsoft.com/office/drawing/2014/main" id="{0C375057-03F2-4EB4-B452-5C2BF07F3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5" name="Picture 1" descr="ALMASHRI_0">
          <a:extLst>
            <a:ext uri="{FF2B5EF4-FFF2-40B4-BE49-F238E27FC236}">
              <a16:creationId xmlns:a16="http://schemas.microsoft.com/office/drawing/2014/main" id="{F93AD767-9A1E-4CB2-8341-8ADEF6BCE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6" name="Picture 1" descr="ALMASHRI_0">
          <a:extLst>
            <a:ext uri="{FF2B5EF4-FFF2-40B4-BE49-F238E27FC236}">
              <a16:creationId xmlns:a16="http://schemas.microsoft.com/office/drawing/2014/main" id="{FA623D89-744A-4613-A5EA-14202AD49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7" name="Picture 1" descr="ALMASHRI_0">
          <a:extLst>
            <a:ext uri="{FF2B5EF4-FFF2-40B4-BE49-F238E27FC236}">
              <a16:creationId xmlns:a16="http://schemas.microsoft.com/office/drawing/2014/main" id="{B3B5FC68-F3D1-46BE-8171-7C43ACE4D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8" name="Picture 1" descr="ALMASHRI_0">
          <a:extLst>
            <a:ext uri="{FF2B5EF4-FFF2-40B4-BE49-F238E27FC236}">
              <a16:creationId xmlns:a16="http://schemas.microsoft.com/office/drawing/2014/main" id="{38E55BDD-66DA-4E85-B8AD-401EBF509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26720"/>
    <xdr:pic>
      <xdr:nvPicPr>
        <xdr:cNvPr id="1999" name="Picture 1" descr="ALMASHRI_0">
          <a:extLst>
            <a:ext uri="{FF2B5EF4-FFF2-40B4-BE49-F238E27FC236}">
              <a16:creationId xmlns:a16="http://schemas.microsoft.com/office/drawing/2014/main" id="{4DDD484D-C185-4C29-8E69-8E62D54A7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0" name="Picture 1" descr="ALMASHRI_0">
          <a:extLst>
            <a:ext uri="{FF2B5EF4-FFF2-40B4-BE49-F238E27FC236}">
              <a16:creationId xmlns:a16="http://schemas.microsoft.com/office/drawing/2014/main" id="{C7911920-BE8F-423A-90AA-9539C7315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1" name="Picture 1" descr="ALMASHRI_0">
          <a:extLst>
            <a:ext uri="{FF2B5EF4-FFF2-40B4-BE49-F238E27FC236}">
              <a16:creationId xmlns:a16="http://schemas.microsoft.com/office/drawing/2014/main" id="{78595F45-39B1-4081-A260-47787ADD3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2" name="Picture 1" descr="ALMASHRI_0">
          <a:extLst>
            <a:ext uri="{FF2B5EF4-FFF2-40B4-BE49-F238E27FC236}">
              <a16:creationId xmlns:a16="http://schemas.microsoft.com/office/drawing/2014/main" id="{38B83EEB-DCFC-46B4-8600-924BD1383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3" name="Picture 1" descr="ALMASHRI_0">
          <a:extLst>
            <a:ext uri="{FF2B5EF4-FFF2-40B4-BE49-F238E27FC236}">
              <a16:creationId xmlns:a16="http://schemas.microsoft.com/office/drawing/2014/main" id="{9E0E46FC-418C-423D-AF3D-4A69777D9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4" name="Picture 1" descr="ALMASHRI_0">
          <a:extLst>
            <a:ext uri="{FF2B5EF4-FFF2-40B4-BE49-F238E27FC236}">
              <a16:creationId xmlns:a16="http://schemas.microsoft.com/office/drawing/2014/main" id="{981381F7-95F6-469A-BAB1-EC20571CF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5" name="Picture 1" descr="ALMASHRI_0">
          <a:extLst>
            <a:ext uri="{FF2B5EF4-FFF2-40B4-BE49-F238E27FC236}">
              <a16:creationId xmlns:a16="http://schemas.microsoft.com/office/drawing/2014/main" id="{17057DAE-9A93-4D32-A820-469A46F4D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6" name="Picture 1" descr="ALMASHRI_0">
          <a:extLst>
            <a:ext uri="{FF2B5EF4-FFF2-40B4-BE49-F238E27FC236}">
              <a16:creationId xmlns:a16="http://schemas.microsoft.com/office/drawing/2014/main" id="{1AAA2231-5D57-46C6-BF05-45D9112AB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7" name="Picture 1" descr="ALMASHRI_0">
          <a:extLst>
            <a:ext uri="{FF2B5EF4-FFF2-40B4-BE49-F238E27FC236}">
              <a16:creationId xmlns:a16="http://schemas.microsoft.com/office/drawing/2014/main" id="{4508373F-FEF1-442E-854C-0CABB6A50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8" name="Picture 1" descr="ALMASHRI_0">
          <a:extLst>
            <a:ext uri="{FF2B5EF4-FFF2-40B4-BE49-F238E27FC236}">
              <a16:creationId xmlns:a16="http://schemas.microsoft.com/office/drawing/2014/main" id="{53D3F80A-F019-42EC-86E4-D58A5D878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09" name="Picture 1" descr="ALMASHRI_0">
          <a:extLst>
            <a:ext uri="{FF2B5EF4-FFF2-40B4-BE49-F238E27FC236}">
              <a16:creationId xmlns:a16="http://schemas.microsoft.com/office/drawing/2014/main" id="{880E30A5-5C59-41D3-8F89-A0981BEA3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10" name="Picture 1" descr="ALMASHRI_0">
          <a:extLst>
            <a:ext uri="{FF2B5EF4-FFF2-40B4-BE49-F238E27FC236}">
              <a16:creationId xmlns:a16="http://schemas.microsoft.com/office/drawing/2014/main" id="{39E8029C-13C7-4092-93A3-42C91582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11" name="Picture 1" descr="ALMASHRI_0">
          <a:extLst>
            <a:ext uri="{FF2B5EF4-FFF2-40B4-BE49-F238E27FC236}">
              <a16:creationId xmlns:a16="http://schemas.microsoft.com/office/drawing/2014/main" id="{308F569A-F4DA-4BC4-8C1D-9A4F710D0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12" name="Picture 1" descr="ALMASHRI_0">
          <a:extLst>
            <a:ext uri="{FF2B5EF4-FFF2-40B4-BE49-F238E27FC236}">
              <a16:creationId xmlns:a16="http://schemas.microsoft.com/office/drawing/2014/main" id="{2966C2B4-81C8-4415-9B31-FF7580959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13" name="Picture 1" descr="ALMASHRI_0">
          <a:extLst>
            <a:ext uri="{FF2B5EF4-FFF2-40B4-BE49-F238E27FC236}">
              <a16:creationId xmlns:a16="http://schemas.microsoft.com/office/drawing/2014/main" id="{F2BD45BF-D384-4679-BBD6-9D58E5FB2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14" name="Picture 1" descr="ALMASHRI_0">
          <a:extLst>
            <a:ext uri="{FF2B5EF4-FFF2-40B4-BE49-F238E27FC236}">
              <a16:creationId xmlns:a16="http://schemas.microsoft.com/office/drawing/2014/main" id="{D46C24B6-3342-4DCF-849E-AED7D0E56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417195"/>
    <xdr:pic>
      <xdr:nvPicPr>
        <xdr:cNvPr id="2015" name="Picture 1" descr="ALMASHRI_0">
          <a:extLst>
            <a:ext uri="{FF2B5EF4-FFF2-40B4-BE49-F238E27FC236}">
              <a16:creationId xmlns:a16="http://schemas.microsoft.com/office/drawing/2014/main" id="{96BE2866-BA9B-4B0B-8D8E-BAB9A08C7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41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16" name="Picture 1" descr="ALMASHRI_0">
          <a:extLst>
            <a:ext uri="{FF2B5EF4-FFF2-40B4-BE49-F238E27FC236}">
              <a16:creationId xmlns:a16="http://schemas.microsoft.com/office/drawing/2014/main" id="{5DAFD654-C4DB-4573-835F-C7FDBFB18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17" name="Picture 1" descr="ALMASHRI_0">
          <a:extLst>
            <a:ext uri="{FF2B5EF4-FFF2-40B4-BE49-F238E27FC236}">
              <a16:creationId xmlns:a16="http://schemas.microsoft.com/office/drawing/2014/main" id="{7F04354A-0049-4894-8979-A58BEA044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18" name="Picture 1" descr="ALMASHRI_0">
          <a:extLst>
            <a:ext uri="{FF2B5EF4-FFF2-40B4-BE49-F238E27FC236}">
              <a16:creationId xmlns:a16="http://schemas.microsoft.com/office/drawing/2014/main" id="{50E361BB-E95B-41DF-9B87-1EE3AD316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19" name="Picture 1" descr="ALMASHRI_0">
          <a:extLst>
            <a:ext uri="{FF2B5EF4-FFF2-40B4-BE49-F238E27FC236}">
              <a16:creationId xmlns:a16="http://schemas.microsoft.com/office/drawing/2014/main" id="{96293E06-B7A7-4B6C-B54B-7570B0279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0" name="Picture 1" descr="ALMASHRI_0">
          <a:extLst>
            <a:ext uri="{FF2B5EF4-FFF2-40B4-BE49-F238E27FC236}">
              <a16:creationId xmlns:a16="http://schemas.microsoft.com/office/drawing/2014/main" id="{CDF88D0D-E39B-4ACE-ADD1-328FA60FD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1" name="Picture 1" descr="ALMASHRI_0">
          <a:extLst>
            <a:ext uri="{FF2B5EF4-FFF2-40B4-BE49-F238E27FC236}">
              <a16:creationId xmlns:a16="http://schemas.microsoft.com/office/drawing/2014/main" id="{6B628882-F35C-41A7-8101-4D6C847A6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2" name="Picture 1" descr="ALMASHRI_0">
          <a:extLst>
            <a:ext uri="{FF2B5EF4-FFF2-40B4-BE49-F238E27FC236}">
              <a16:creationId xmlns:a16="http://schemas.microsoft.com/office/drawing/2014/main" id="{17F1053A-334C-4DB3-B40A-B8A6BF1B7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3" name="Picture 1" descr="ALMASHRI_0">
          <a:extLst>
            <a:ext uri="{FF2B5EF4-FFF2-40B4-BE49-F238E27FC236}">
              <a16:creationId xmlns:a16="http://schemas.microsoft.com/office/drawing/2014/main" id="{0E5BB7B3-A5A0-4676-BD59-F2C32A8B6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4" name="Picture 1" descr="ALMASHRI_0">
          <a:extLst>
            <a:ext uri="{FF2B5EF4-FFF2-40B4-BE49-F238E27FC236}">
              <a16:creationId xmlns:a16="http://schemas.microsoft.com/office/drawing/2014/main" id="{50CBBF29-E678-4790-AAB5-000B44784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5" name="Picture 1" descr="ALMASHRI_0">
          <a:extLst>
            <a:ext uri="{FF2B5EF4-FFF2-40B4-BE49-F238E27FC236}">
              <a16:creationId xmlns:a16="http://schemas.microsoft.com/office/drawing/2014/main" id="{01E1A9EE-C189-405F-BCE3-CE67CCE56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6" name="Picture 1" descr="ALMASHRI_0">
          <a:extLst>
            <a:ext uri="{FF2B5EF4-FFF2-40B4-BE49-F238E27FC236}">
              <a16:creationId xmlns:a16="http://schemas.microsoft.com/office/drawing/2014/main" id="{3D1E0124-5B70-472E-9330-D1BC3B73A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7" name="Picture 1" descr="ALMASHRI_0">
          <a:extLst>
            <a:ext uri="{FF2B5EF4-FFF2-40B4-BE49-F238E27FC236}">
              <a16:creationId xmlns:a16="http://schemas.microsoft.com/office/drawing/2014/main" id="{118630F1-C7B3-4EE9-BB7F-806CE28081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8" name="Picture 1" descr="ALMASHRI_0">
          <a:extLst>
            <a:ext uri="{FF2B5EF4-FFF2-40B4-BE49-F238E27FC236}">
              <a16:creationId xmlns:a16="http://schemas.microsoft.com/office/drawing/2014/main" id="{731E2709-A4E3-4634-88CD-0E6D1FAAD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29" name="Picture 1" descr="ALMASHRI_0">
          <a:extLst>
            <a:ext uri="{FF2B5EF4-FFF2-40B4-BE49-F238E27FC236}">
              <a16:creationId xmlns:a16="http://schemas.microsoft.com/office/drawing/2014/main" id="{00378981-871D-4246-866B-A1CEE1846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30" name="Picture 1" descr="ALMASHRI_0">
          <a:extLst>
            <a:ext uri="{FF2B5EF4-FFF2-40B4-BE49-F238E27FC236}">
              <a16:creationId xmlns:a16="http://schemas.microsoft.com/office/drawing/2014/main" id="{C4FAD3F5-DD54-4985-956C-158407A55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94335"/>
    <xdr:pic>
      <xdr:nvPicPr>
        <xdr:cNvPr id="2031" name="Picture 1" descr="ALMASHRI_0">
          <a:extLst>
            <a:ext uri="{FF2B5EF4-FFF2-40B4-BE49-F238E27FC236}">
              <a16:creationId xmlns:a16="http://schemas.microsoft.com/office/drawing/2014/main" id="{E2675A84-B248-4380-A972-BBBE66E6E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32" name="Picture 1" descr="ALMASHRI_0">
          <a:extLst>
            <a:ext uri="{FF2B5EF4-FFF2-40B4-BE49-F238E27FC236}">
              <a16:creationId xmlns:a16="http://schemas.microsoft.com/office/drawing/2014/main" id="{63FA45BA-4D16-49A7-86D3-25FC91566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33" name="Picture 1" descr="ALMASHRI_0">
          <a:extLst>
            <a:ext uri="{FF2B5EF4-FFF2-40B4-BE49-F238E27FC236}">
              <a16:creationId xmlns:a16="http://schemas.microsoft.com/office/drawing/2014/main" id="{45979BA0-EC0C-42E0-B619-A1BD52253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34" name="Picture 1" descr="ALMASHRI_0">
          <a:extLst>
            <a:ext uri="{FF2B5EF4-FFF2-40B4-BE49-F238E27FC236}">
              <a16:creationId xmlns:a16="http://schemas.microsoft.com/office/drawing/2014/main" id="{B9D96F37-0B8A-4294-9BE5-FF83139ED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35" name="Picture 1" descr="ALMASHRI_0">
          <a:extLst>
            <a:ext uri="{FF2B5EF4-FFF2-40B4-BE49-F238E27FC236}">
              <a16:creationId xmlns:a16="http://schemas.microsoft.com/office/drawing/2014/main" id="{1B37372B-B6E3-4FBE-9920-CA810D7A9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36" name="Picture 1" descr="ALMASHRI_0">
          <a:extLst>
            <a:ext uri="{FF2B5EF4-FFF2-40B4-BE49-F238E27FC236}">
              <a16:creationId xmlns:a16="http://schemas.microsoft.com/office/drawing/2014/main" id="{A503E731-618D-4B0A-A15F-3D2B61E9B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37" name="Picture 1" descr="ALMASHRI_0">
          <a:extLst>
            <a:ext uri="{FF2B5EF4-FFF2-40B4-BE49-F238E27FC236}">
              <a16:creationId xmlns:a16="http://schemas.microsoft.com/office/drawing/2014/main" id="{CD523414-94BE-419F-94C7-22028321E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38" name="Picture 1" descr="ALMASHRI_0">
          <a:extLst>
            <a:ext uri="{FF2B5EF4-FFF2-40B4-BE49-F238E27FC236}">
              <a16:creationId xmlns:a16="http://schemas.microsoft.com/office/drawing/2014/main" id="{634B8E22-F370-423E-BFED-6871BEF95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39" name="Picture 1" descr="ALMASHRI_0">
          <a:extLst>
            <a:ext uri="{FF2B5EF4-FFF2-40B4-BE49-F238E27FC236}">
              <a16:creationId xmlns:a16="http://schemas.microsoft.com/office/drawing/2014/main" id="{CAF1781F-7801-42DC-8CCC-E83FF604C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40" name="Picture 1" descr="ALMASHRI_0">
          <a:extLst>
            <a:ext uri="{FF2B5EF4-FFF2-40B4-BE49-F238E27FC236}">
              <a16:creationId xmlns:a16="http://schemas.microsoft.com/office/drawing/2014/main" id="{F155372C-E2FD-41C5-9C18-357C30819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41" name="Picture 1" descr="ALMASHRI_0">
          <a:extLst>
            <a:ext uri="{FF2B5EF4-FFF2-40B4-BE49-F238E27FC236}">
              <a16:creationId xmlns:a16="http://schemas.microsoft.com/office/drawing/2014/main" id="{ABDA060C-768C-43FA-8DAF-95B6CBD76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42" name="Picture 1" descr="ALMASHRI_0">
          <a:extLst>
            <a:ext uri="{FF2B5EF4-FFF2-40B4-BE49-F238E27FC236}">
              <a16:creationId xmlns:a16="http://schemas.microsoft.com/office/drawing/2014/main" id="{0FA69DCA-98E8-4291-ACAE-94A61220B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43" name="Picture 1" descr="ALMASHRI_0">
          <a:extLst>
            <a:ext uri="{FF2B5EF4-FFF2-40B4-BE49-F238E27FC236}">
              <a16:creationId xmlns:a16="http://schemas.microsoft.com/office/drawing/2014/main" id="{173294B7-716D-4617-B7F0-7C3FD9290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44" name="Picture 1" descr="ALMASHRI_0">
          <a:extLst>
            <a:ext uri="{FF2B5EF4-FFF2-40B4-BE49-F238E27FC236}">
              <a16:creationId xmlns:a16="http://schemas.microsoft.com/office/drawing/2014/main" id="{07925BA2-8DD9-41DE-8D66-177FD5B6F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45" name="Picture 1" descr="ALMASHRI_0">
          <a:extLst>
            <a:ext uri="{FF2B5EF4-FFF2-40B4-BE49-F238E27FC236}">
              <a16:creationId xmlns:a16="http://schemas.microsoft.com/office/drawing/2014/main" id="{3539A54D-8E7C-47BF-A079-7C2C3C5BA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46" name="Picture 1" descr="ALMASHRI_0">
          <a:extLst>
            <a:ext uri="{FF2B5EF4-FFF2-40B4-BE49-F238E27FC236}">
              <a16:creationId xmlns:a16="http://schemas.microsoft.com/office/drawing/2014/main" id="{5F7F1CD5-8148-4FED-A0B0-A142D6928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1295400</xdr:colOff>
      <xdr:row>81</xdr:row>
      <xdr:rowOff>0</xdr:rowOff>
    </xdr:from>
    <xdr:ext cx="0" cy="384810"/>
    <xdr:pic>
      <xdr:nvPicPr>
        <xdr:cNvPr id="2047" name="Picture 1" descr="ALMASHRI_0">
          <a:extLst>
            <a:ext uri="{FF2B5EF4-FFF2-40B4-BE49-F238E27FC236}">
              <a16:creationId xmlns:a16="http://schemas.microsoft.com/office/drawing/2014/main" id="{A2BF5CB8-EB30-47E7-B796-3A9E704A66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4599900"/>
          <a:ext cx="0"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571500</xdr:colOff>
      <xdr:row>5</xdr:row>
      <xdr:rowOff>0</xdr:rowOff>
    </xdr:to>
    <xdr:pic>
      <xdr:nvPicPr>
        <xdr:cNvPr id="2" name="Picture 1" descr="JBG-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038225"/>
          <a:ext cx="571500"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len\Documents\Henry\Sinohydro+Machiri%20Priced%20BQs\BUNGOMA\BUNGOMA%20TREATMENT%20WORKS%20(BQ%20B1-B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lsie\d\Henry\Sinohydro+Machiri%20Priced%20BQs\BUNGOMA\BUNGOMA%20TREATMENT%20WORKS%20(BQ%20B1-B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LLEN\Documents%20and%20Settings\All%20Users\Documents\Henry\Sinohydro+Machiri%20Priced%20BQs\BUNGOMA\BUNGOMA%20TREATMENT%20WORKS%20(BQ%20B1-B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lsie\d\Documents%20and%20Settings\All%20Users\Documents\Henry\Sinohydro+Machiri%20Priced%20BQs\BUNGOMA\BUNGOMA%20TREATMENT%20WORKS%20(BQ%20B1-B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ellen\Henry\Sinohydro+Machiri%20Priced%20BQs\BUNGOMA\BUNGOMA%20TREATMENT%20WORKS%20(BQ%20B1-B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5C44A1C3\BUNGOMA%20TREATMENT%20WORKS%20(BQ%20B1-B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On-going%20Jobs\Nzoia\NZOIA\PHASE%20I\Tendering%20Stage\Tender%20Documents\Sinohydro+Machiri%20Priced%20BQs\WEBUYE\WEBUYE%20REHABILITATION%20BOQ.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ESIGN%20OFFICE\PHYLLIS\Silas\On-going%20Jobs\Nzoia\NZOIA\PHASE%20I\Tendering%20Stage\Tender%20Documents\Sinohydro+Machiri%20Priced%20BQs\WEBUYE\WEBUYE%20REHABILITATION%20BOQ.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KITALE\KITALE%20BOQs%20-%20Rehabilitation%20Work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On-going%20Jobs/Nzoia/NZOIA/PHASE%20I/Tendering%20Stage/Tender%20Documents/Sinohydro+Machiri%20Priced%20BQs/WEBUYE/WEBUYE%20REHABILITATION%20BO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sie\d\On-going%20Jobs\Nzoia\NZOIA\PHASE%20I\Tendering%20Stage\Tender%20Documents\Sinohydro+Machiri%20Priced%20BQs\WEBUYE\WEBUYE%20REHABILITATION%20BO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ESIGN%20OFFICE\BEATRICE\From%20Silas\21-12-15\KITALE%20BoQs%20-%20Treatment%20&amp;%20Electrical%20Work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ELLEN\On-going%20Jobs\Nzoia\NZOIA\PHASE%20I\Tendering%20Stage\Tender%20Documents\Sinohydro+Machiri%20Priced%20BQs\WEBUYE\WEBUYE%20REHABILITATION%20BOQ.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erver\Home$\My%20Documents\My%20Documents\MINE\BUSIA-MUMIAS%20IPC-55(Feb-02)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BUNGOMA\BUNGOMA%20REHABILITATION%20WORKS%20(BQ%20BR1-BR1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Users\Jiafeng%20Li\Documents\A\Mzima\Henry\Sinohydro+Machiri%20Priced%20BQs\BUNGOMA\BUNGOMA%20TREATMENT%20WORKS%20(BQ%20B1-B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1\Gauff-Nairobi\Water\Documents\Zambia\Northwest%20Province\Bills\All%20Works%20BoQ\Solwezi\BUILDINGS%20BILL(R).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Nzoia%20Phase%20III%20Final%20Design\From%20Site\kimilili\Maiyo2\Datas\gilbert\Nzoia%20Ph%201%20Tender%20Docs\Volume%20I\Volume%20II\Sinohydro+Machiri%20Priced%20BQs\KITALE\KITALE%20BoQs%20-%20Treatment%20&amp;%20Electrical%20Works%2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erver\Home$\My%20Documents\My%20Documents\MINE\IPC-54(Nov-01)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Documents%20and%20Settings\George\My%20Documents\Downloads\DOCUME~1\lenovo\LOCALS~1\Temp\Xl00000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Documents%20and%20Settings\George\My%20Documents\Downloads\Documents%20and%20Settings\lenovo\Local%20Settings\Temp\Xl000001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Users\Jiafeng%20Li\Documents\A\Mzima\Documents%20and%20Settings\All%20Users\Documents\Henry\Sinohydro+Machiri%20Priced%20BQs\BUNGOMA\BUNGOMA%20TREATMENT%20WORKS%20(BQ%20B1-B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20Projects/Maua,%20Othaya%20&amp;%20Mukurweini%20Project/Othaya%20Water,%20Othaya%20Sewerage%20&amp;%20Mukurweini%20Bid%20Documents%20-%20Final/Maua%20Bid%20Document/VOL%20I/Henry/Sinohydro+Machiri%20Priced%20BQs/BUNGOMA/BUNGOMA%20TREATMENT%20WORKS%20(BQ%20B1-B1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Users\Paul%20Kogo\Documents\User's%20Docs\Phase%20I\Nzoia%20Ph%201%20Tender%20Docs\Volume%20II\Sinohydro+Machiri%20Priced%20BQs\KITALE\KITALE%20BOQs%20-%20Rehabilitation%20Work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1.%20On-going%20Jobs\Othaya-Mukurweini-Maua\Design%20&amp;%20Bidding%20Stage\Maua\Bidding%20Documents\VOL%20I\Henry\Sinohydro+Machiri%20Priced%20BQs\BUNGOMA\BUNGOMA%20TREATMENT%20WORKS%20(BQ%20B1-B1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erver\Home$\On-going%20Jobs\Nzoia\NZOIA\PHASE%20I\Tendering%20Stage\Tender%20Documents\Sinohydro+Machiri%20Priced%20BQs\WEBUYE\WEBUYE%20REHABILITATION%20BOQ.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Users\Jiafeng%20Li\Documents\A\Mzima\Documents%20and%20Settings\All%20Users\Documents\Henry\Sinohydro+Machiri%20Priced%20BQs\BUNGOMA\BUNGOMA%20TREATMENT%20WORKS%20(BQ%20B1-B1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user\Desktop\Machakos%20Water\Machackos%20Pipelines%20Confidential%20Engineers%20Estimate%20ZAK%20-%20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Home$\1.%20On-going%20Jobs\Othaya-Mukurweini-Maua\Design%20&amp;%20Bidding%20Stage\Maua\Bidding%20Documents\VOL%20I\Henry\Sinohydro+Machiri%20Priced%20BQs\BUNGOMA\BUNGOMA%20TREATMENT%20WORKS%20(BQ%20B1-B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Henry\Sinohydro+Machiri%20Priced%20BQs\BUNGOMA\BUNGOMA%20TREATMENT%20WORKS%20(BQ%20B1-B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DESIGN%20OFFICE\PHYLLIS\Silas\Henry\Sinohydro+Machiri%20Priced%20BQs\BUNGOMA\BUNGOMA%20TREATMENT%20WORKS%20(BQ%20B1-B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Henry\Sinohydro+Machiri%20Priced%20BQs\BUNGOMA\BUNGOMA%20TREATMENT%20WORKS%20(BQ%20B1-B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enry/Sinohydro+Machiri%20Priced%20BQs/BUNGOMA/BUNGOMA%20TREATMENT%20WORKS%20(BQ%20B1-B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Home$\Henry\Sinohydro+Machiri%20Priced%20BQs\BUNGOMA\BUNGOMA%20TREATMENT%20WORKS%20(BQ%20B1-B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 val="IPC-49SUMWORK"/>
      <sheetName val="IPC-55SUMWORK"/>
    </sheetNames>
    <sheetDataSet>
      <sheetData sheetId="0" refreshError="1">
        <row r="12">
          <cell r="L12">
            <v>0.75</v>
          </cell>
        </row>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Collection_Sheet(KR1)"/>
      <sheetName val="Bill_No__KR2"/>
      <sheetName val="Collection_Sheet_(KR2)"/>
      <sheetName val="NZe-BOQ_KR3"/>
      <sheetName val="Collection_Sheet_NZe-BOQ_KR3"/>
      <sheetName val="Bill_No__KR4"/>
      <sheetName val="Collection_Sheet_(KR4)"/>
      <sheetName val="Line_CFe-BOQ_KR5"/>
      <sheetName val="Collection_Sheet_CFe-BOQ_KR5"/>
      <sheetName val="Line_KMISC1-BOQ_KR6"/>
      <sheetName val="Collection_Sheet_KMISC1-BOQ_KR6"/>
      <sheetName val="Line_NCe-BOQ_KR7"/>
      <sheetName val="Collection_Sheet_NCe-BOQ_KR7"/>
      <sheetName val="Line_TWRM-BOQ_KR8"/>
      <sheetName val="Collection_Sheet_TWRM-BOQ_KR8"/>
      <sheetName val="Line_KAe5-BOQ_KR9"/>
      <sheetName val="Collection_Sheet_KAe5-BOQ_KR9"/>
      <sheetName val="Line_Barst-BOQ_KR10"/>
      <sheetName val="Collection_Sheet_Barst-BOQ_KR10"/>
      <sheetName val="Line_KAe3-BOQ_KR11"/>
      <sheetName val="Collection_Sheet_KAe3-BO_KR11"/>
      <sheetName val="Line_SC2e-BOQ_KR12"/>
      <sheetName val="Collection_Sheet_SC2e-BOQ_KR12"/>
      <sheetName val="Line_KEAV-BOQ_KR13"/>
      <sheetName val="Collection_Sheet_KEAV_-BOQ_KR13"/>
      <sheetName val="Line_MISC2-BOQ_KR14"/>
      <sheetName val="Collection_Sheet_MISC2-BOQ_KR14"/>
      <sheetName val="Line_MOIST-BOQ_KR15"/>
      <sheetName val="Collection_Sheet_MOIST-BOQ_KR15"/>
      <sheetName val="Line_SC3e-BOQ_KR16"/>
      <sheetName val="Collection_Sheet_SC3e-KR16"/>
      <sheetName val="Line_SC3e-1-BOQ_KR17"/>
      <sheetName val="Collection_Sheet_SC3e-1-BQ_KR17"/>
      <sheetName val="Line_NZe1-BOQ_KR18"/>
      <sheetName val="Collection_Sheet_NZE1-BOQ_KR18"/>
      <sheetName val="BILL_NO_KR19"/>
      <sheetName val="Collection_Sheet_(KR19)"/>
      <sheetName val="Bill_No__KR20"/>
      <sheetName val="Collection_Sheet_(KR20)"/>
      <sheetName val="Bill_No__KR21"/>
      <sheetName val="Collection_Sheet(KR21)"/>
      <sheetName val="Bill_No__KR22"/>
      <sheetName val="Collection_Sheet(KR22)"/>
      <sheetName val="Bill_No__KR23"/>
      <sheetName val="Collection_Sheet_(23)"/>
      <sheetName val="Bill_NO__KR24"/>
      <sheetName val="Collection_Sheet_(3)kr24"/>
      <sheetName val="Bill_No__KR25"/>
      <sheetName val="Collection_Sheet_(4)Kr25"/>
      <sheetName val="Bill_No__KR26"/>
      <sheetName val="Collection_Sheet_(5)Kre26"/>
      <sheetName val="Bill_No__KR27"/>
      <sheetName val="COLLECTION_SHEET_"/>
      <sheetName val="BILL_NO__KR28"/>
      <sheetName val="Collection_Sheet_(_KR28"/>
      <sheetName val="Bill_No__KR29"/>
      <sheetName val="Collection_Sheet_KR29"/>
      <sheetName val="Bill_No__KR30"/>
      <sheetName val="COLLECTION_SHEET_(KR30)"/>
      <sheetName val="BILL_NO_KDI"/>
      <sheetName val="COLLECTION_SHEET_(6)"/>
      <sheetName val="IPC-49SUMWORK"/>
      <sheetName val="IPC-55SUMWORK"/>
    </sheetNames>
    <sheetDataSet>
      <sheetData sheetId="0" refreshError="1">
        <row r="1">
          <cell r="J1">
            <v>72.954400000000007</v>
          </cell>
        </row>
        <row r="5">
          <cell r="E5">
            <v>1380</v>
          </cell>
          <cell r="J5">
            <v>1.2</v>
          </cell>
        </row>
        <row r="6">
          <cell r="E6">
            <v>2760</v>
          </cell>
          <cell r="J6">
            <v>0.15</v>
          </cell>
        </row>
        <row r="7">
          <cell r="E7">
            <v>4600</v>
          </cell>
        </row>
        <row r="8">
          <cell r="J8">
            <v>0.92</v>
          </cell>
        </row>
        <row r="11">
          <cell r="J11">
            <v>78.401700000000005</v>
          </cell>
        </row>
        <row r="25">
          <cell r="E25">
            <v>445.28000000000003</v>
          </cell>
        </row>
        <row r="27">
          <cell r="E27">
            <v>968.11599999999999</v>
          </cell>
        </row>
        <row r="28">
          <cell r="E28">
            <v>1212.0999999999999</v>
          </cell>
        </row>
        <row r="37">
          <cell r="E37">
            <v>311.14400000000001</v>
          </cell>
        </row>
        <row r="38">
          <cell r="E38">
            <v>467.82000000000005</v>
          </cell>
        </row>
        <row r="39">
          <cell r="E39">
            <v>651.72799999999995</v>
          </cell>
        </row>
        <row r="41">
          <cell r="E41">
            <v>2204.2280000000001</v>
          </cell>
        </row>
        <row r="43">
          <cell r="E43">
            <v>188.6</v>
          </cell>
        </row>
        <row r="44">
          <cell r="E44">
            <v>342.24</v>
          </cell>
        </row>
        <row r="45">
          <cell r="E45">
            <v>724.96</v>
          </cell>
        </row>
        <row r="51">
          <cell r="E51">
            <v>2427.88</v>
          </cell>
        </row>
        <row r="67">
          <cell r="E67">
            <v>2271.48</v>
          </cell>
        </row>
        <row r="107">
          <cell r="E107">
            <v>4.6000000000000005</v>
          </cell>
        </row>
        <row r="112">
          <cell r="E112">
            <v>600</v>
          </cell>
        </row>
        <row r="113">
          <cell r="E113">
            <v>1000</v>
          </cell>
        </row>
        <row r="114">
          <cell r="E114">
            <v>1100</v>
          </cell>
        </row>
        <row r="120">
          <cell r="E120">
            <v>298.90799999999996</v>
          </cell>
        </row>
        <row r="121">
          <cell r="E121">
            <v>48.07</v>
          </cell>
        </row>
        <row r="123">
          <cell r="E123">
            <v>215.00400000000002</v>
          </cell>
        </row>
        <row r="124">
          <cell r="E124">
            <v>669.48400000000004</v>
          </cell>
        </row>
        <row r="126">
          <cell r="E126">
            <v>1933.288</v>
          </cell>
        </row>
        <row r="133">
          <cell r="E133">
            <v>297.16000000000003</v>
          </cell>
        </row>
        <row r="135">
          <cell r="E135">
            <v>393.29999999999995</v>
          </cell>
        </row>
        <row r="137">
          <cell r="E137">
            <v>603.06000000000006</v>
          </cell>
        </row>
        <row r="138">
          <cell r="E138">
            <v>437</v>
          </cell>
        </row>
        <row r="147">
          <cell r="E147">
            <v>42895</v>
          </cell>
        </row>
        <row r="157">
          <cell r="E157">
            <v>52216</v>
          </cell>
        </row>
        <row r="176">
          <cell r="E176">
            <v>14494.678199999998</v>
          </cell>
        </row>
        <row r="189">
          <cell r="E189">
            <v>3829.8679999999999</v>
          </cell>
        </row>
        <row r="202">
          <cell r="E202">
            <v>363.21600000000001</v>
          </cell>
        </row>
        <row r="203">
          <cell r="E203">
            <v>712.08</v>
          </cell>
        </row>
        <row r="204">
          <cell r="E204">
            <v>2349.3120000000004</v>
          </cell>
        </row>
        <row r="208">
          <cell r="E208">
            <v>18082</v>
          </cell>
        </row>
        <row r="218">
          <cell r="E218">
            <v>3091.5</v>
          </cell>
        </row>
        <row r="219">
          <cell r="E219">
            <v>9826.5</v>
          </cell>
        </row>
        <row r="220">
          <cell r="E220">
            <v>18205.5</v>
          </cell>
        </row>
        <row r="233">
          <cell r="E233">
            <v>18082</v>
          </cell>
        </row>
        <row r="234">
          <cell r="E234">
            <v>30558</v>
          </cell>
        </row>
        <row r="241">
          <cell r="E241">
            <v>1034</v>
          </cell>
        </row>
        <row r="242">
          <cell r="E242">
            <v>1908</v>
          </cell>
        </row>
        <row r="243">
          <cell r="E243">
            <v>4580</v>
          </cell>
        </row>
        <row r="244">
          <cell r="E244">
            <v>1034</v>
          </cell>
        </row>
        <row r="245">
          <cell r="E245">
            <v>1908</v>
          </cell>
        </row>
        <row r="246">
          <cell r="E246">
            <v>4580</v>
          </cell>
        </row>
        <row r="259">
          <cell r="E259">
            <v>15.980400000000001</v>
          </cell>
        </row>
        <row r="261">
          <cell r="E261">
            <v>75.982800000000012</v>
          </cell>
        </row>
        <row r="264">
          <cell r="E264">
            <v>78.632400000000004</v>
          </cell>
        </row>
        <row r="269">
          <cell r="E269">
            <v>97.952399999999997</v>
          </cell>
        </row>
        <row r="273">
          <cell r="E273">
            <v>9.1632000000000016</v>
          </cell>
        </row>
        <row r="288">
          <cell r="E288">
            <v>696.44</v>
          </cell>
        </row>
        <row r="289">
          <cell r="E289">
            <v>1173</v>
          </cell>
        </row>
        <row r="301">
          <cell r="E301">
            <v>268.64</v>
          </cell>
        </row>
        <row r="302">
          <cell r="E302">
            <v>326.60000000000002</v>
          </cell>
        </row>
        <row r="314">
          <cell r="E314">
            <v>184</v>
          </cell>
        </row>
        <row r="317">
          <cell r="E317">
            <v>15364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 sheetId="12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sheetData sheetId="1">
        <row r="117">
          <cell r="E117">
            <v>7740.1440000000002</v>
          </cell>
        </row>
        <row r="118">
          <cell r="E118">
            <v>9964.4740000000002</v>
          </cell>
        </row>
        <row r="119">
          <cell r="E119">
            <v>11038.619999999999</v>
          </cell>
        </row>
        <row r="125">
          <cell r="E125">
            <v>1053.17</v>
          </cell>
        </row>
        <row r="128">
          <cell r="E128">
            <v>1624.7659999999998</v>
          </cell>
        </row>
        <row r="129">
          <cell r="E129">
            <v>16203.96</v>
          </cell>
        </row>
        <row r="185">
          <cell r="E185">
            <v>4370</v>
          </cell>
        </row>
        <row r="186">
          <cell r="E186">
            <v>4807</v>
          </cell>
        </row>
        <row r="187">
          <cell r="E187">
            <v>8740</v>
          </cell>
        </row>
        <row r="265">
          <cell r="E265">
            <v>191.29560000000001</v>
          </cell>
        </row>
        <row r="271">
          <cell r="E271">
            <v>123.87800000000001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s>
    <sheetDataSet>
      <sheetData sheetId="0"/>
      <sheetData sheetId="1"/>
      <sheetData sheetId="2"/>
      <sheetData sheetId="3"/>
      <sheetData sheetId="4">
        <row r="1">
          <cell r="B1" t="str">
            <v xml:space="preserve"> </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t="str">
            <v xml:space="preserve"> </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R1"/>
      <sheetName val="Collection Sheet-BILL NO.BR1"/>
      <sheetName val="BILL NO BR2"/>
      <sheetName val="Collection Sheet BR2"/>
      <sheetName val="BILL NO. BR3"/>
      <sheetName val="Collection Sheet-BILL NO.BR3"/>
      <sheetName val="BILL NO. BR4"/>
      <sheetName val="Collection Sheet-BILL NO.BR 4"/>
      <sheetName val="BILL NO BR5"/>
      <sheetName val="Collection Sheet-BILL NO.BR5"/>
      <sheetName val="BILL NO. BR6"/>
      <sheetName val="Collection Sheet-BILL NO.BR6"/>
      <sheetName val="Bill No. Br7"/>
      <sheetName val="Collection Sheet-BILL NO.BR 7"/>
      <sheetName val="Bill No. Br 8"/>
      <sheetName val="Collection Sheet-BILL NO.BR8"/>
      <sheetName val="Bill No. Br 9"/>
      <sheetName val="Collection Sheet-BILL No. Br 9"/>
      <sheetName val="Bill No. Br 10"/>
      <sheetName val="Collection Sheet-Bill No. Br 10"/>
      <sheetName val="Bill No. Br 11"/>
      <sheetName val="Collection Sheet-Bill No. 11"/>
      <sheetName val="Bill No. Br 12"/>
      <sheetName val="Collection Sheet-Bill No. Br 12"/>
      <sheetName val="Bill No. Br 13"/>
      <sheetName val="Collection Sheet-Bill No. Br 13"/>
      <sheetName val="Bill No. Br 14"/>
      <sheetName val="Collection Sheet-Bill No. Br 14"/>
      <sheetName val="Bill No. Br 8部分改变"/>
      <sheetName val="BILL_NO__BR1"/>
      <sheetName val="Collection_Sheet-BILL_NO_BR1"/>
      <sheetName val="BILL_NO_BR2"/>
      <sheetName val="Collection_Sheet_BR2"/>
      <sheetName val="BILL_NO__BR3"/>
      <sheetName val="Collection_Sheet-BILL_NO_BR3"/>
      <sheetName val="BILL_NO__BR4"/>
      <sheetName val="Collection_Sheet-BILL_NO_BR_4"/>
      <sheetName val="BILL_NO_BR5"/>
      <sheetName val="Collection_Sheet-BILL_NO_BR5"/>
      <sheetName val="BILL_NO__BR6"/>
      <sheetName val="Collection_Sheet-BILL_NO_BR6"/>
      <sheetName val="Bill_No__Br7"/>
      <sheetName val="Collection_Sheet-BILL_NO_BR_7"/>
      <sheetName val="Bill_No__Br_8"/>
      <sheetName val="Collection_Sheet-BILL_NO_BR8"/>
      <sheetName val="Bill_No__Br_9"/>
      <sheetName val="Collection_Sheet-BILL_No__Br_9"/>
      <sheetName val="Bill_No__Br_10"/>
      <sheetName val="Collection_Sheet-Bill_No__Br_10"/>
      <sheetName val="Bill_No__Br_11"/>
      <sheetName val="Collection_Sheet-Bill_No__11"/>
      <sheetName val="Bill_No__Br_12"/>
      <sheetName val="Collection_Sheet-Bill_No__Br_12"/>
      <sheetName val="Bill_No__Br_13"/>
      <sheetName val="Collection_Sheet-Bill_No__Br_13"/>
      <sheetName val="Bill_No__Br_14"/>
      <sheetName val="Collection_Sheet-Bill_No__Br_14"/>
      <sheetName val="IPC-55SUMWORK"/>
    </sheetNames>
    <sheetDataSet>
      <sheetData sheetId="0">
        <row r="220">
          <cell r="E220">
            <v>6946.92</v>
          </cell>
        </row>
        <row r="291">
          <cell r="E291">
            <v>263.12</v>
          </cell>
        </row>
        <row r="312">
          <cell r="E312">
            <v>460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S BILL(R)"/>
      <sheetName val="#REF"/>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refreshError="1"/>
      <sheetData sheetId="1">
        <row r="9">
          <cell r="J9">
            <v>0.92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s>
    <sheetDataSet>
      <sheetData sheetId="0"/>
      <sheetData sheetId="1"/>
      <sheetData sheetId="2"/>
      <sheetData sheetId="3"/>
      <sheetData sheetId="4">
        <row r="1">
          <cell r="B1" t="str">
            <v xml:space="preserve"> </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t="str">
            <v xml:space="preserve"> </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印说明"/>
      <sheetName val="PAYMENT CURRENCIES"/>
      <sheetName val="BOQ"/>
      <sheetName val="Sheet3"/>
      <sheetName val="Sheet4"/>
      <sheetName val="SUMMARY1"/>
      <sheetName val="djfx"/>
      <sheetName val="材料"/>
      <sheetName val="设备台班"/>
      <sheetName val="基础数据"/>
      <sheetName val="4标价组成"/>
      <sheetName val="摊销费"/>
      <sheetName val="人员工资表"/>
      <sheetName val="混凝土配合比"/>
      <sheetName val="沙砾料价格表"/>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No.1"/>
      <sheetName val="Bill No.2"/>
      <sheetName val="Bill No.3"/>
      <sheetName val="Bill No.4"/>
      <sheetName val="Sewerage BoQ Summary"/>
      <sheetName val="4.3 Payment Currencies"/>
      <sheetName val="4标价组成表"/>
      <sheetName val="BOQ2-3"/>
      <sheetName val="djfx"/>
      <sheetName val="配合比"/>
      <sheetName val="2设备台班"/>
      <sheetName val="3摊销费"/>
      <sheetName val="材料"/>
      <sheetName val="基础数据"/>
      <sheetName val="人员工资表"/>
      <sheetName val="工程师需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Distribution"/>
      <sheetName val="8 E&amp;M"/>
      <sheetName val="3 Raw Water Main (2)"/>
      <sheetName val="10 O&amp;M Equipment"/>
      <sheetName val="Dayworks"/>
      <sheetName val="Rising Main"/>
      <sheetName val="7. Katelembu Transmission main"/>
      <sheetName val="8 Distribution lines"/>
      <sheetName val="13 Consumer Connections"/>
      <sheetName val="Water Ret Qtys"/>
      <sheetName val="Transmission Main"/>
      <sheetName val="TAKE OFF sHEET"/>
      <sheetName val="Rates"/>
    </sheetNames>
    <sheetDataSet>
      <sheetData sheetId="0"/>
      <sheetData sheetId="1"/>
      <sheetData sheetId="2"/>
      <sheetData sheetId="3"/>
      <sheetData sheetId="4"/>
      <sheetData sheetId="5">
        <row r="143">
          <cell r="D143">
            <v>3</v>
          </cell>
        </row>
      </sheetData>
      <sheetData sheetId="6">
        <row r="148">
          <cell r="D148">
            <v>4</v>
          </cell>
        </row>
      </sheetData>
      <sheetData sheetId="7"/>
      <sheetData sheetId="8"/>
      <sheetData sheetId="9">
        <row r="22">
          <cell r="Q22">
            <v>36423</v>
          </cell>
        </row>
        <row r="39">
          <cell r="K39">
            <v>0</v>
          </cell>
        </row>
        <row r="40">
          <cell r="K40">
            <v>5710</v>
          </cell>
        </row>
        <row r="41">
          <cell r="K41">
            <v>4100</v>
          </cell>
        </row>
        <row r="42">
          <cell r="K42">
            <v>4470</v>
          </cell>
        </row>
        <row r="43">
          <cell r="K43">
            <v>14080</v>
          </cell>
        </row>
        <row r="44">
          <cell r="K44">
            <v>13600</v>
          </cell>
        </row>
        <row r="45">
          <cell r="K45">
            <v>0</v>
          </cell>
        </row>
        <row r="49">
          <cell r="J49">
            <v>0</v>
          </cell>
        </row>
        <row r="52">
          <cell r="J52">
            <v>2</v>
          </cell>
        </row>
        <row r="53">
          <cell r="J53">
            <v>4</v>
          </cell>
        </row>
        <row r="54">
          <cell r="J54">
            <v>4</v>
          </cell>
        </row>
        <row r="56">
          <cell r="J56">
            <v>4</v>
          </cell>
          <cell r="L56">
            <v>3</v>
          </cell>
        </row>
        <row r="57">
          <cell r="J57">
            <v>2</v>
          </cell>
          <cell r="L57">
            <v>4</v>
          </cell>
        </row>
        <row r="58">
          <cell r="J58">
            <v>5</v>
          </cell>
          <cell r="L58">
            <v>4</v>
          </cell>
        </row>
        <row r="59">
          <cell r="J59">
            <v>5</v>
          </cell>
        </row>
        <row r="61">
          <cell r="J61">
            <v>5</v>
          </cell>
        </row>
        <row r="62">
          <cell r="J62">
            <v>3</v>
          </cell>
        </row>
        <row r="65">
          <cell r="J65">
            <v>6</v>
          </cell>
        </row>
        <row r="67">
          <cell r="J67">
            <v>5</v>
          </cell>
        </row>
        <row r="68">
          <cell r="J68">
            <v>6</v>
          </cell>
        </row>
        <row r="71">
          <cell r="J71">
            <v>14</v>
          </cell>
        </row>
        <row r="72">
          <cell r="J72">
            <v>8</v>
          </cell>
        </row>
        <row r="73">
          <cell r="J73">
            <v>3</v>
          </cell>
        </row>
        <row r="74">
          <cell r="J74">
            <v>5</v>
          </cell>
        </row>
        <row r="79">
          <cell r="J79">
            <v>2</v>
          </cell>
        </row>
        <row r="80">
          <cell r="J80">
            <v>3</v>
          </cell>
        </row>
        <row r="81">
          <cell r="J81">
            <v>3</v>
          </cell>
        </row>
        <row r="82">
          <cell r="J82">
            <v>2</v>
          </cell>
        </row>
        <row r="97">
          <cell r="J97">
            <v>5</v>
          </cell>
        </row>
        <row r="98">
          <cell r="J98">
            <v>6</v>
          </cell>
        </row>
        <row r="99">
          <cell r="J99">
            <v>3</v>
          </cell>
        </row>
        <row r="100">
          <cell r="J100">
            <v>2</v>
          </cell>
        </row>
        <row r="101">
          <cell r="J101">
            <v>3</v>
          </cell>
        </row>
        <row r="105">
          <cell r="J105">
            <v>3</v>
          </cell>
        </row>
        <row r="106">
          <cell r="J106">
            <v>6</v>
          </cell>
        </row>
        <row r="107">
          <cell r="J107">
            <v>3</v>
          </cell>
        </row>
        <row r="108">
          <cell r="J108">
            <v>2</v>
          </cell>
        </row>
        <row r="109">
          <cell r="J109">
            <v>2</v>
          </cell>
        </row>
        <row r="111">
          <cell r="J111">
            <v>3</v>
          </cell>
        </row>
      </sheetData>
      <sheetData sheetId="10"/>
      <sheetData sheetId="11">
        <row r="4">
          <cell r="D4">
            <v>5020</v>
          </cell>
          <cell r="N4">
            <v>5210</v>
          </cell>
        </row>
        <row r="7">
          <cell r="H7">
            <v>7</v>
          </cell>
          <cell r="R7">
            <v>10</v>
          </cell>
        </row>
        <row r="9">
          <cell r="H9">
            <v>10</v>
          </cell>
          <cell r="R9">
            <v>11</v>
          </cell>
        </row>
        <row r="11">
          <cell r="H11">
            <v>7</v>
          </cell>
          <cell r="R11">
            <v>9</v>
          </cell>
        </row>
        <row r="13">
          <cell r="H13">
            <v>12</v>
          </cell>
          <cell r="R13">
            <v>11</v>
          </cell>
        </row>
        <row r="15">
          <cell r="H15">
            <v>16</v>
          </cell>
          <cell r="R15">
            <v>13</v>
          </cell>
        </row>
        <row r="17">
          <cell r="B17">
            <v>0</v>
          </cell>
          <cell r="L17">
            <v>0</v>
          </cell>
        </row>
        <row r="19">
          <cell r="B19">
            <v>3</v>
          </cell>
          <cell r="L19">
            <v>5</v>
          </cell>
        </row>
        <row r="21">
          <cell r="B21">
            <v>3</v>
          </cell>
          <cell r="L21">
            <v>4</v>
          </cell>
        </row>
        <row r="27">
          <cell r="F27">
            <v>3</v>
          </cell>
          <cell r="P27">
            <v>5</v>
          </cell>
        </row>
        <row r="28">
          <cell r="F28">
            <v>0</v>
          </cell>
          <cell r="P28">
            <v>0</v>
          </cell>
        </row>
        <row r="29">
          <cell r="F29">
            <v>3</v>
          </cell>
          <cell r="P29">
            <v>4</v>
          </cell>
        </row>
        <row r="30">
          <cell r="F30">
            <v>0</v>
          </cell>
          <cell r="P30">
            <v>0</v>
          </cell>
        </row>
        <row r="31">
          <cell r="F31">
            <v>0</v>
          </cell>
          <cell r="P31">
            <v>0</v>
          </cell>
        </row>
        <row r="32">
          <cell r="F32">
            <v>0</v>
          </cell>
          <cell r="P32">
            <v>0</v>
          </cell>
        </row>
        <row r="33">
          <cell r="F33">
            <v>3</v>
          </cell>
          <cell r="P33">
            <v>4</v>
          </cell>
        </row>
        <row r="34">
          <cell r="F34">
            <v>0</v>
          </cell>
          <cell r="P34">
            <v>0</v>
          </cell>
        </row>
        <row r="35">
          <cell r="F35">
            <v>3</v>
          </cell>
          <cell r="P35">
            <v>5</v>
          </cell>
        </row>
        <row r="36">
          <cell r="F36">
            <v>0</v>
          </cell>
          <cell r="P36">
            <v>0</v>
          </cell>
        </row>
        <row r="37">
          <cell r="F37">
            <v>0</v>
          </cell>
          <cell r="P37">
            <v>0</v>
          </cell>
        </row>
        <row r="38">
          <cell r="F38">
            <v>0</v>
          </cell>
          <cell r="P38">
            <v>0</v>
          </cell>
        </row>
        <row r="39">
          <cell r="F39">
            <v>3</v>
          </cell>
        </row>
        <row r="40">
          <cell r="F40">
            <v>0</v>
          </cell>
          <cell r="P40">
            <v>5</v>
          </cell>
        </row>
        <row r="41">
          <cell r="F41">
            <v>12</v>
          </cell>
          <cell r="P41">
            <v>0</v>
          </cell>
        </row>
        <row r="42">
          <cell r="F42">
            <v>0</v>
          </cell>
          <cell r="P42">
            <v>18</v>
          </cell>
        </row>
        <row r="43">
          <cell r="F43">
            <v>0</v>
          </cell>
          <cell r="P43">
            <v>0</v>
          </cell>
        </row>
        <row r="44">
          <cell r="F44">
            <v>0</v>
          </cell>
          <cell r="P44">
            <v>0</v>
          </cell>
        </row>
        <row r="45">
          <cell r="F45">
            <v>3</v>
          </cell>
          <cell r="P45">
            <v>0</v>
          </cell>
        </row>
        <row r="46">
          <cell r="F46">
            <v>0</v>
          </cell>
        </row>
        <row r="47">
          <cell r="F47">
            <v>0</v>
          </cell>
          <cell r="P47">
            <v>5</v>
          </cell>
        </row>
        <row r="48">
          <cell r="F48">
            <v>0</v>
          </cell>
          <cell r="P48">
            <v>0</v>
          </cell>
        </row>
        <row r="49">
          <cell r="F49">
            <v>3</v>
          </cell>
          <cell r="P49">
            <v>0</v>
          </cell>
        </row>
        <row r="50">
          <cell r="F50">
            <v>0</v>
          </cell>
          <cell r="P50">
            <v>0</v>
          </cell>
        </row>
        <row r="51">
          <cell r="F51">
            <v>3</v>
          </cell>
          <cell r="P51">
            <v>5</v>
          </cell>
        </row>
        <row r="52">
          <cell r="F52">
            <v>0</v>
          </cell>
          <cell r="P52">
            <v>0</v>
          </cell>
        </row>
        <row r="53">
          <cell r="F53">
            <v>3</v>
          </cell>
          <cell r="P53">
            <v>5</v>
          </cell>
        </row>
        <row r="54">
          <cell r="F54">
            <v>0</v>
          </cell>
          <cell r="P54">
            <v>0</v>
          </cell>
        </row>
        <row r="55">
          <cell r="F55">
            <v>3</v>
          </cell>
          <cell r="P55">
            <v>4</v>
          </cell>
        </row>
        <row r="56">
          <cell r="F56">
            <v>0</v>
          </cell>
          <cell r="P56">
            <v>0</v>
          </cell>
        </row>
        <row r="57">
          <cell r="F57">
            <v>0</v>
          </cell>
          <cell r="P57">
            <v>5</v>
          </cell>
        </row>
        <row r="58">
          <cell r="F58">
            <v>0</v>
          </cell>
          <cell r="P58">
            <v>0</v>
          </cell>
        </row>
        <row r="59">
          <cell r="F59">
            <v>3</v>
          </cell>
          <cell r="P59">
            <v>0</v>
          </cell>
        </row>
        <row r="60">
          <cell r="F60">
            <v>0</v>
          </cell>
          <cell r="P60">
            <v>0</v>
          </cell>
        </row>
        <row r="61">
          <cell r="F61">
            <v>3</v>
          </cell>
          <cell r="P61">
            <v>4</v>
          </cell>
        </row>
        <row r="62">
          <cell r="F62">
            <v>0</v>
          </cell>
          <cell r="P62">
            <v>0</v>
          </cell>
        </row>
        <row r="63">
          <cell r="F63">
            <v>0</v>
          </cell>
          <cell r="P63">
            <v>5</v>
          </cell>
        </row>
        <row r="64">
          <cell r="F64">
            <v>0</v>
          </cell>
          <cell r="P64">
            <v>0</v>
          </cell>
        </row>
        <row r="65">
          <cell r="F65">
            <v>3</v>
          </cell>
          <cell r="P65">
            <v>0</v>
          </cell>
        </row>
        <row r="66">
          <cell r="P66">
            <v>0</v>
          </cell>
        </row>
        <row r="67">
          <cell r="P67">
            <v>4</v>
          </cell>
        </row>
      </sheetData>
      <sheetData sheetId="12">
        <row r="115">
          <cell r="L115">
            <v>18560</v>
          </cell>
        </row>
        <row r="116">
          <cell r="L116">
            <v>0</v>
          </cell>
        </row>
        <row r="117">
          <cell r="L117">
            <v>19260</v>
          </cell>
        </row>
        <row r="118">
          <cell r="L118">
            <v>0</v>
          </cell>
        </row>
        <row r="119">
          <cell r="L119">
            <v>19500</v>
          </cell>
        </row>
        <row r="120">
          <cell r="L120">
            <v>0</v>
          </cell>
        </row>
        <row r="121">
          <cell r="L121">
            <v>19810</v>
          </cell>
        </row>
        <row r="122">
          <cell r="L122">
            <v>0</v>
          </cell>
        </row>
        <row r="123">
          <cell r="L123">
            <v>20310</v>
          </cell>
        </row>
        <row r="124">
          <cell r="L124">
            <v>0</v>
          </cell>
        </row>
        <row r="125">
          <cell r="L125">
            <v>20660</v>
          </cell>
        </row>
        <row r="127">
          <cell r="L127">
            <v>20360</v>
          </cell>
        </row>
        <row r="129">
          <cell r="L129">
            <v>20760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tabSelected="1" view="pageBreakPreview" zoomScaleNormal="55" zoomScaleSheetLayoutView="100" workbookViewId="0">
      <selection activeCell="B22" sqref="B22"/>
    </sheetView>
  </sheetViews>
  <sheetFormatPr defaultColWidth="9.08984375" defaultRowHeight="13"/>
  <cols>
    <col min="1" max="1" width="5.6328125" style="546" customWidth="1"/>
    <col min="2" max="2" width="79.90625" style="546" customWidth="1"/>
    <col min="3" max="3" width="6.453125" style="546" customWidth="1"/>
    <col min="4" max="16384" width="9.08984375" style="546"/>
  </cols>
  <sheetData>
    <row r="1" spans="2:2" ht="36.75" customHeight="1"/>
    <row r="2" spans="2:2" ht="23.5">
      <c r="B2" s="549"/>
    </row>
    <row r="3" spans="2:2" ht="15.5">
      <c r="B3" s="548"/>
    </row>
    <row r="4" spans="2:2" ht="23.5">
      <c r="B4" s="547"/>
    </row>
  </sheetData>
  <printOptions horizontalCentered="1"/>
  <pageMargins left="0.75" right="0.5" top="0.5" bottom="0.5" header="0.5" footer="0.5"/>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4"/>
  <sheetViews>
    <sheetView view="pageBreakPreview" zoomScale="115" zoomScaleNormal="115" zoomScaleSheetLayoutView="115" zoomScalePageLayoutView="96" workbookViewId="0">
      <selection activeCell="A1351" sqref="A1351:XFD1351"/>
    </sheetView>
  </sheetViews>
  <sheetFormatPr defaultColWidth="9" defaultRowHeight="14"/>
  <cols>
    <col min="1" max="1" width="9.08984375" style="460" customWidth="1"/>
    <col min="2" max="2" width="48.54296875" style="243" customWidth="1"/>
    <col min="3" max="3" width="8.54296875" style="243" customWidth="1"/>
    <col min="4" max="4" width="8.90625" style="461" customWidth="1"/>
    <col min="5" max="5" width="11.54296875" style="462" customWidth="1"/>
    <col min="6" max="6" width="12.90625" style="462" customWidth="1"/>
    <col min="7" max="7" width="11.453125" style="463" customWidth="1"/>
    <col min="8" max="8" width="10.08984375" style="463" customWidth="1"/>
    <col min="9" max="9" width="10.36328125" style="463" bestFit="1" customWidth="1"/>
    <col min="10" max="10" width="12.90625" style="463" bestFit="1" customWidth="1"/>
    <col min="11" max="11" width="9.36328125" style="463" bestFit="1" customWidth="1"/>
    <col min="12" max="12" width="14" style="463" bestFit="1" customWidth="1"/>
    <col min="13" max="13" width="11.36328125" style="463" bestFit="1" customWidth="1"/>
    <col min="14" max="14" width="14" style="463" bestFit="1" customWidth="1"/>
    <col min="15" max="15" width="9.36328125" style="463" bestFit="1" customWidth="1"/>
    <col min="16" max="16" width="14" style="463" bestFit="1" customWidth="1"/>
    <col min="17" max="17" width="9.36328125" style="463" bestFit="1" customWidth="1"/>
    <col min="18" max="18" width="12.90625" style="463" bestFit="1" customWidth="1"/>
    <col min="19" max="19" width="9.36328125" style="463" bestFit="1" customWidth="1"/>
    <col min="20" max="20" width="14" style="463" bestFit="1" customWidth="1"/>
    <col min="21" max="21" width="9.36328125" style="463" bestFit="1" customWidth="1"/>
    <col min="22" max="22" width="12.90625" style="463" bestFit="1" customWidth="1"/>
    <col min="23" max="23" width="9.36328125" style="463" bestFit="1" customWidth="1"/>
    <col min="24" max="24" width="14" style="463" bestFit="1" customWidth="1"/>
    <col min="25" max="25" width="9.36328125" style="463" bestFit="1" customWidth="1"/>
    <col min="26" max="26" width="12.90625" style="463" bestFit="1" customWidth="1"/>
    <col min="27" max="27" width="9.36328125" style="463" bestFit="1" customWidth="1"/>
    <col min="28" max="28" width="14" style="463" bestFit="1" customWidth="1"/>
    <col min="29" max="29" width="9.36328125" style="463" bestFit="1" customWidth="1"/>
    <col min="30" max="30" width="12.90625" style="463" bestFit="1" customWidth="1"/>
    <col min="31" max="31" width="9.36328125" style="463" bestFit="1" customWidth="1"/>
    <col min="32" max="32" width="14" style="463" bestFit="1" customWidth="1"/>
    <col min="33" max="33" width="7.6328125" style="463" bestFit="1" customWidth="1"/>
    <col min="34" max="34" width="14" style="463" bestFit="1" customWidth="1"/>
    <col min="35" max="35" width="9.36328125" style="463" bestFit="1" customWidth="1"/>
    <col min="36" max="36" width="14" style="463" bestFit="1" customWidth="1"/>
    <col min="37" max="37" width="6.6328125" style="463" bestFit="1" customWidth="1"/>
    <col min="38" max="38" width="12.90625" style="463" bestFit="1" customWidth="1"/>
    <col min="39" max="39" width="9.36328125" style="463" bestFit="1" customWidth="1"/>
    <col min="40" max="40" width="14" style="463" bestFit="1" customWidth="1"/>
    <col min="41" max="41" width="7.08984375" style="464" bestFit="1" customWidth="1"/>
    <col min="42" max="42" width="11.36328125" style="463" bestFit="1" customWidth="1"/>
    <col min="43" max="16384" width="9" style="243"/>
  </cols>
  <sheetData>
    <row r="1" spans="1:42" s="458" customFormat="1" ht="13.5" thickTop="1">
      <c r="A1" s="480"/>
      <c r="B1" s="481"/>
      <c r="C1" s="481"/>
      <c r="D1" s="481"/>
      <c r="E1" s="481"/>
      <c r="F1" s="482"/>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7"/>
    </row>
    <row r="2" spans="1:42" ht="13">
      <c r="A2" s="1552" t="s">
        <v>741</v>
      </c>
      <c r="B2" s="1548"/>
      <c r="C2" s="1548"/>
      <c r="D2" s="1548"/>
      <c r="E2" s="1548"/>
      <c r="F2" s="1553"/>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1"/>
      <c r="AP2" s="420"/>
    </row>
    <row r="3" spans="1:42" s="19" customFormat="1" ht="13" thickBot="1">
      <c r="A3" s="477"/>
      <c r="B3" s="44"/>
      <c r="C3" s="405"/>
      <c r="D3" s="406"/>
      <c r="E3" s="45"/>
      <c r="F3" s="478"/>
      <c r="AP3" s="421"/>
    </row>
    <row r="4" spans="1:42" s="19" customFormat="1" ht="27" thickTop="1" thickBot="1">
      <c r="A4" s="2" t="s">
        <v>21</v>
      </c>
      <c r="B4" s="53" t="s">
        <v>5</v>
      </c>
      <c r="C4" s="29" t="s">
        <v>6</v>
      </c>
      <c r="D4" s="30" t="s">
        <v>1</v>
      </c>
      <c r="E4" s="31" t="s">
        <v>7</v>
      </c>
      <c r="F4" s="50" t="s">
        <v>8</v>
      </c>
      <c r="AP4" s="421"/>
    </row>
    <row r="5" spans="1:42" s="19" customFormat="1" ht="13.5" thickTop="1">
      <c r="A5" s="471"/>
      <c r="B5" s="20"/>
      <c r="C5" s="32"/>
      <c r="D5" s="33"/>
      <c r="E5" s="34"/>
      <c r="F5" s="49"/>
      <c r="AP5" s="421"/>
    </row>
    <row r="6" spans="1:42" ht="13">
      <c r="A6" s="483"/>
      <c r="B6" s="370" t="s">
        <v>742</v>
      </c>
      <c r="C6" s="371"/>
      <c r="D6" s="484"/>
      <c r="E6" s="485"/>
      <c r="F6" s="486"/>
      <c r="G6" s="412"/>
      <c r="H6" s="413"/>
      <c r="I6" s="412"/>
      <c r="J6" s="413"/>
      <c r="K6" s="412"/>
      <c r="L6" s="413"/>
      <c r="M6" s="412"/>
      <c r="N6" s="413"/>
      <c r="O6" s="412"/>
      <c r="P6" s="413"/>
      <c r="Q6" s="412"/>
      <c r="R6" s="413"/>
      <c r="S6" s="412"/>
      <c r="T6" s="413"/>
      <c r="U6" s="412"/>
      <c r="V6" s="413"/>
      <c r="W6" s="412"/>
      <c r="X6" s="413"/>
      <c r="Y6" s="412"/>
      <c r="Z6" s="413"/>
      <c r="AA6" s="412"/>
      <c r="AB6" s="413"/>
      <c r="AC6" s="412"/>
      <c r="AD6" s="413"/>
      <c r="AE6" s="412"/>
      <c r="AF6" s="413"/>
      <c r="AG6" s="412"/>
      <c r="AH6" s="413"/>
      <c r="AI6" s="412"/>
      <c r="AJ6" s="413"/>
      <c r="AK6" s="412"/>
      <c r="AL6" s="413"/>
      <c r="AM6" s="412"/>
      <c r="AN6" s="413"/>
      <c r="AO6" s="414"/>
      <c r="AP6" s="422"/>
    </row>
    <row r="7" spans="1:42" ht="13">
      <c r="A7" s="483"/>
      <c r="B7" s="370"/>
      <c r="C7" s="371"/>
      <c r="D7" s="484"/>
      <c r="E7" s="485"/>
      <c r="F7" s="486"/>
      <c r="G7" s="415"/>
      <c r="H7" s="416"/>
      <c r="I7" s="446"/>
      <c r="J7" s="416"/>
      <c r="K7" s="446"/>
      <c r="L7" s="416"/>
      <c r="M7" s="446"/>
      <c r="N7" s="416"/>
      <c r="O7" s="446"/>
      <c r="P7" s="416"/>
      <c r="Q7" s="446"/>
      <c r="R7" s="416"/>
      <c r="S7" s="446"/>
      <c r="T7" s="416"/>
      <c r="U7" s="446"/>
      <c r="V7" s="416"/>
      <c r="W7" s="446"/>
      <c r="X7" s="416"/>
      <c r="Y7" s="446"/>
      <c r="Z7" s="416"/>
      <c r="AA7" s="446"/>
      <c r="AB7" s="416"/>
      <c r="AC7" s="446"/>
      <c r="AD7" s="416"/>
      <c r="AE7" s="446"/>
      <c r="AF7" s="416"/>
      <c r="AG7" s="446"/>
      <c r="AH7" s="416"/>
      <c r="AI7" s="446"/>
      <c r="AJ7" s="416"/>
      <c r="AK7" s="446"/>
      <c r="AL7" s="416"/>
      <c r="AM7" s="446"/>
      <c r="AN7" s="416"/>
      <c r="AO7" s="447"/>
      <c r="AP7" s="423"/>
    </row>
    <row r="8" spans="1:42" ht="26">
      <c r="A8" s="436"/>
      <c r="B8" s="372" t="s">
        <v>743</v>
      </c>
      <c r="C8" s="371"/>
      <c r="D8" s="472"/>
      <c r="E8" s="485"/>
      <c r="F8" s="486"/>
      <c r="G8" s="415"/>
      <c r="H8" s="416"/>
      <c r="I8" s="446"/>
      <c r="J8" s="416"/>
      <c r="K8" s="446"/>
      <c r="L8" s="416"/>
      <c r="M8" s="446"/>
      <c r="N8" s="416"/>
      <c r="O8" s="446"/>
      <c r="P8" s="416"/>
      <c r="Q8" s="446"/>
      <c r="R8" s="416"/>
      <c r="S8" s="446"/>
      <c r="T8" s="416"/>
      <c r="U8" s="446"/>
      <c r="V8" s="416"/>
      <c r="W8" s="446"/>
      <c r="X8" s="416"/>
      <c r="Y8" s="446"/>
      <c r="Z8" s="416"/>
      <c r="AA8" s="446"/>
      <c r="AB8" s="416"/>
      <c r="AC8" s="446"/>
      <c r="AD8" s="416"/>
      <c r="AE8" s="446"/>
      <c r="AF8" s="416"/>
      <c r="AG8" s="446"/>
      <c r="AH8" s="416"/>
      <c r="AI8" s="446"/>
      <c r="AJ8" s="416"/>
      <c r="AK8" s="446"/>
      <c r="AL8" s="416"/>
      <c r="AM8" s="446"/>
      <c r="AN8" s="416"/>
      <c r="AO8" s="447"/>
      <c r="AP8" s="423"/>
    </row>
    <row r="9" spans="1:42" ht="12.5">
      <c r="A9" s="436"/>
      <c r="B9" s="373"/>
      <c r="C9" s="374"/>
      <c r="D9" s="472"/>
      <c r="E9" s="487"/>
      <c r="F9" s="488"/>
      <c r="G9" s="415"/>
      <c r="H9" s="416"/>
      <c r="I9" s="446"/>
      <c r="J9" s="416"/>
      <c r="K9" s="445"/>
      <c r="L9" s="418"/>
      <c r="M9" s="446"/>
      <c r="N9" s="416"/>
      <c r="O9" s="445"/>
      <c r="P9" s="418"/>
      <c r="Q9" s="446"/>
      <c r="R9" s="416"/>
      <c r="S9" s="445"/>
      <c r="T9" s="416"/>
      <c r="U9" s="446"/>
      <c r="V9" s="416"/>
      <c r="W9" s="445"/>
      <c r="X9" s="416"/>
      <c r="Y9" s="446"/>
      <c r="Z9" s="416"/>
      <c r="AA9" s="446"/>
      <c r="AB9" s="416"/>
      <c r="AC9" s="446"/>
      <c r="AD9" s="416"/>
      <c r="AE9" s="446"/>
      <c r="AF9" s="416"/>
      <c r="AG9" s="446"/>
      <c r="AH9" s="416"/>
      <c r="AI9" s="446"/>
      <c r="AJ9" s="416"/>
      <c r="AK9" s="446"/>
      <c r="AL9" s="416"/>
      <c r="AM9" s="446"/>
      <c r="AN9" s="416"/>
      <c r="AO9" s="447"/>
      <c r="AP9" s="423"/>
    </row>
    <row r="10" spans="1:42" ht="25.5" customHeight="1">
      <c r="A10" s="436" t="s">
        <v>744</v>
      </c>
      <c r="B10" s="42" t="s">
        <v>903</v>
      </c>
      <c r="C10" s="186" t="s">
        <v>9</v>
      </c>
      <c r="D10" s="472">
        <v>650</v>
      </c>
      <c r="E10" s="473">
        <v>100</v>
      </c>
      <c r="F10" s="489">
        <f>D10*E10</f>
        <v>65000</v>
      </c>
      <c r="G10" s="415"/>
      <c r="H10" s="416"/>
      <c r="I10" s="446"/>
      <c r="J10" s="416"/>
      <c r="K10" s="446"/>
      <c r="L10" s="416"/>
      <c r="M10" s="446"/>
      <c r="N10" s="416"/>
      <c r="O10" s="446"/>
      <c r="P10" s="416"/>
      <c r="Q10" s="446"/>
      <c r="R10" s="416"/>
      <c r="S10" s="446"/>
      <c r="T10" s="416"/>
      <c r="U10" s="446"/>
      <c r="V10" s="416"/>
      <c r="W10" s="446"/>
      <c r="X10" s="416"/>
      <c r="Y10" s="446"/>
      <c r="Z10" s="416"/>
      <c r="AA10" s="446"/>
      <c r="AB10" s="416"/>
      <c r="AC10" s="446"/>
      <c r="AD10" s="416"/>
      <c r="AE10" s="446"/>
      <c r="AF10" s="416"/>
      <c r="AG10" s="446"/>
      <c r="AH10" s="416">
        <f>AG10*E10</f>
        <v>0</v>
      </c>
      <c r="AI10" s="446"/>
      <c r="AJ10" s="416"/>
      <c r="AK10" s="446"/>
      <c r="AL10" s="416">
        <f>AK10*I10</f>
        <v>0</v>
      </c>
      <c r="AM10" s="446"/>
      <c r="AN10" s="416"/>
      <c r="AO10" s="447"/>
      <c r="AP10" s="423">
        <f>AO10*M10</f>
        <v>0</v>
      </c>
    </row>
    <row r="11" spans="1:42" ht="12.5">
      <c r="A11" s="436"/>
      <c r="B11" s="373"/>
      <c r="C11" s="374"/>
      <c r="D11" s="472"/>
      <c r="E11" s="487"/>
      <c r="F11" s="488"/>
      <c r="G11" s="415"/>
      <c r="H11" s="416"/>
      <c r="I11" s="446"/>
      <c r="J11" s="416"/>
      <c r="K11" s="445"/>
      <c r="L11" s="418"/>
      <c r="M11" s="446"/>
      <c r="N11" s="416"/>
      <c r="O11" s="445"/>
      <c r="P11" s="418"/>
      <c r="Q11" s="446"/>
      <c r="R11" s="416"/>
      <c r="S11" s="445"/>
      <c r="T11" s="416">
        <f t="shared" ref="T11:T67" si="0">R11+P11</f>
        <v>0</v>
      </c>
      <c r="U11" s="446"/>
      <c r="V11" s="416"/>
      <c r="W11" s="445"/>
      <c r="X11" s="416">
        <f t="shared" ref="X11:X67" si="1">V11+T11</f>
        <v>0</v>
      </c>
      <c r="Y11" s="446"/>
      <c r="Z11" s="416"/>
      <c r="AA11" s="446">
        <f t="shared" ref="AA11:AB26" si="2">Y11+W11</f>
        <v>0</v>
      </c>
      <c r="AB11" s="416">
        <f t="shared" si="2"/>
        <v>0</v>
      </c>
      <c r="AC11" s="446"/>
      <c r="AD11" s="416">
        <f t="shared" ref="AD11:AD67" si="3">AC11*E11</f>
        <v>0</v>
      </c>
      <c r="AE11" s="446">
        <f t="shared" ref="AE11:AF26" si="4">AC11+AA11</f>
        <v>0</v>
      </c>
      <c r="AF11" s="416">
        <f t="shared" si="4"/>
        <v>0</v>
      </c>
      <c r="AG11" s="446"/>
      <c r="AH11" s="416">
        <f t="shared" ref="AH11:AH67" si="5">AG11*E11</f>
        <v>0</v>
      </c>
      <c r="AI11" s="446">
        <f t="shared" ref="AI11:AJ26" si="6">AG11+AE11</f>
        <v>0</v>
      </c>
      <c r="AJ11" s="416">
        <f t="shared" si="6"/>
        <v>0</v>
      </c>
      <c r="AK11" s="446"/>
      <c r="AL11" s="416">
        <f t="shared" ref="AL11:AL67" si="7">AK11*E11</f>
        <v>0</v>
      </c>
      <c r="AM11" s="446">
        <f t="shared" ref="AM11:AN26" si="8">AK11+AI11</f>
        <v>0</v>
      </c>
      <c r="AN11" s="416">
        <f t="shared" si="8"/>
        <v>0</v>
      </c>
      <c r="AO11" s="447"/>
      <c r="AP11" s="423">
        <f t="shared" ref="AP11:AP67" si="9">AO11*E11</f>
        <v>0</v>
      </c>
    </row>
    <row r="12" spans="1:42" ht="25">
      <c r="A12" s="436" t="s">
        <v>745</v>
      </c>
      <c r="B12" s="42" t="s">
        <v>746</v>
      </c>
      <c r="C12" s="186" t="s">
        <v>0</v>
      </c>
      <c r="D12" s="472" t="s">
        <v>3</v>
      </c>
      <c r="E12" s="473">
        <v>50000</v>
      </c>
      <c r="F12" s="489">
        <f>E12</f>
        <v>50000</v>
      </c>
      <c r="G12" s="415"/>
      <c r="H12" s="416"/>
      <c r="I12" s="446"/>
      <c r="J12" s="416"/>
      <c r="K12" s="445"/>
      <c r="L12" s="418"/>
      <c r="M12" s="446">
        <v>1</v>
      </c>
      <c r="N12" s="416">
        <f>M12*E12</f>
        <v>50000</v>
      </c>
      <c r="O12" s="445">
        <f>M12+K12</f>
        <v>1</v>
      </c>
      <c r="P12" s="418">
        <f>O12*E12</f>
        <v>50000</v>
      </c>
      <c r="Q12" s="446"/>
      <c r="R12" s="416">
        <f>Q12*I12</f>
        <v>0</v>
      </c>
      <c r="S12" s="445">
        <f>Q12+O12</f>
        <v>1</v>
      </c>
      <c r="T12" s="416">
        <f t="shared" si="0"/>
        <v>50000</v>
      </c>
      <c r="U12" s="446"/>
      <c r="V12" s="416">
        <f>U12*M12</f>
        <v>0</v>
      </c>
      <c r="W12" s="445">
        <f>U12+S12</f>
        <v>1</v>
      </c>
      <c r="X12" s="416">
        <f t="shared" si="1"/>
        <v>50000</v>
      </c>
      <c r="Y12" s="446"/>
      <c r="Z12" s="416">
        <f>Y12*Q12</f>
        <v>0</v>
      </c>
      <c r="AA12" s="446">
        <f t="shared" si="2"/>
        <v>1</v>
      </c>
      <c r="AB12" s="416">
        <f t="shared" si="2"/>
        <v>50000</v>
      </c>
      <c r="AC12" s="446"/>
      <c r="AD12" s="416">
        <f t="shared" si="3"/>
        <v>0</v>
      </c>
      <c r="AE12" s="446">
        <f t="shared" si="4"/>
        <v>1</v>
      </c>
      <c r="AF12" s="416">
        <f t="shared" si="4"/>
        <v>50000</v>
      </c>
      <c r="AG12" s="446"/>
      <c r="AH12" s="416">
        <f t="shared" si="5"/>
        <v>0</v>
      </c>
      <c r="AI12" s="446">
        <f t="shared" si="6"/>
        <v>1</v>
      </c>
      <c r="AJ12" s="416">
        <f t="shared" si="6"/>
        <v>50000</v>
      </c>
      <c r="AK12" s="446"/>
      <c r="AL12" s="416">
        <f t="shared" si="7"/>
        <v>0</v>
      </c>
      <c r="AM12" s="446">
        <f t="shared" si="8"/>
        <v>1</v>
      </c>
      <c r="AN12" s="416">
        <f t="shared" si="8"/>
        <v>50000</v>
      </c>
      <c r="AO12" s="447"/>
      <c r="AP12" s="423">
        <f t="shared" si="9"/>
        <v>0</v>
      </c>
    </row>
    <row r="13" spans="1:42" ht="13">
      <c r="A13" s="490"/>
      <c r="B13" s="375"/>
      <c r="C13" s="374"/>
      <c r="D13" s="484"/>
      <c r="E13" s="473"/>
      <c r="F13" s="491"/>
      <c r="G13" s="419"/>
      <c r="H13" s="418"/>
      <c r="I13" s="445"/>
      <c r="J13" s="418"/>
      <c r="K13" s="445"/>
      <c r="L13" s="418"/>
      <c r="M13" s="445"/>
      <c r="N13" s="418"/>
      <c r="O13" s="445"/>
      <c r="P13" s="418"/>
      <c r="Q13" s="445"/>
      <c r="R13" s="418"/>
      <c r="S13" s="445"/>
      <c r="T13" s="416">
        <f t="shared" si="0"/>
        <v>0</v>
      </c>
      <c r="U13" s="445"/>
      <c r="V13" s="418"/>
      <c r="W13" s="445"/>
      <c r="X13" s="416">
        <f t="shared" si="1"/>
        <v>0</v>
      </c>
      <c r="Y13" s="445"/>
      <c r="Z13" s="418"/>
      <c r="AA13" s="446">
        <f t="shared" si="2"/>
        <v>0</v>
      </c>
      <c r="AB13" s="416">
        <f t="shared" si="2"/>
        <v>0</v>
      </c>
      <c r="AC13" s="445"/>
      <c r="AD13" s="416">
        <f t="shared" si="3"/>
        <v>0</v>
      </c>
      <c r="AE13" s="446">
        <f t="shared" si="4"/>
        <v>0</v>
      </c>
      <c r="AF13" s="416">
        <f t="shared" si="4"/>
        <v>0</v>
      </c>
      <c r="AG13" s="445"/>
      <c r="AH13" s="416">
        <f t="shared" si="5"/>
        <v>0</v>
      </c>
      <c r="AI13" s="446">
        <f t="shared" si="6"/>
        <v>0</v>
      </c>
      <c r="AJ13" s="416">
        <f t="shared" si="6"/>
        <v>0</v>
      </c>
      <c r="AK13" s="445"/>
      <c r="AL13" s="416">
        <f t="shared" si="7"/>
        <v>0</v>
      </c>
      <c r="AM13" s="446">
        <f t="shared" si="8"/>
        <v>0</v>
      </c>
      <c r="AN13" s="416">
        <f t="shared" si="8"/>
        <v>0</v>
      </c>
      <c r="AO13" s="447"/>
      <c r="AP13" s="423">
        <f t="shared" si="9"/>
        <v>0</v>
      </c>
    </row>
    <row r="14" spans="1:42" ht="13">
      <c r="A14" s="490"/>
      <c r="B14" s="376" t="s">
        <v>747</v>
      </c>
      <c r="C14" s="374"/>
      <c r="D14" s="484"/>
      <c r="E14" s="487"/>
      <c r="F14" s="488"/>
      <c r="G14" s="415"/>
      <c r="H14" s="416"/>
      <c r="I14" s="446"/>
      <c r="J14" s="416"/>
      <c r="K14" s="445"/>
      <c r="L14" s="418"/>
      <c r="M14" s="446"/>
      <c r="N14" s="416"/>
      <c r="O14" s="445"/>
      <c r="P14" s="418"/>
      <c r="Q14" s="446"/>
      <c r="R14" s="416"/>
      <c r="S14" s="445"/>
      <c r="T14" s="416">
        <f t="shared" si="0"/>
        <v>0</v>
      </c>
      <c r="U14" s="446"/>
      <c r="V14" s="416"/>
      <c r="W14" s="445"/>
      <c r="X14" s="416">
        <f t="shared" si="1"/>
        <v>0</v>
      </c>
      <c r="Y14" s="446"/>
      <c r="Z14" s="416"/>
      <c r="AA14" s="446">
        <f t="shared" si="2"/>
        <v>0</v>
      </c>
      <c r="AB14" s="416">
        <f t="shared" si="2"/>
        <v>0</v>
      </c>
      <c r="AC14" s="446"/>
      <c r="AD14" s="416">
        <f t="shared" si="3"/>
        <v>0</v>
      </c>
      <c r="AE14" s="446">
        <f t="shared" si="4"/>
        <v>0</v>
      </c>
      <c r="AF14" s="416">
        <f t="shared" si="4"/>
        <v>0</v>
      </c>
      <c r="AG14" s="446"/>
      <c r="AH14" s="416">
        <f t="shared" si="5"/>
        <v>0</v>
      </c>
      <c r="AI14" s="446">
        <f t="shared" si="6"/>
        <v>0</v>
      </c>
      <c r="AJ14" s="416">
        <f t="shared" si="6"/>
        <v>0</v>
      </c>
      <c r="AK14" s="446"/>
      <c r="AL14" s="416">
        <f t="shared" si="7"/>
        <v>0</v>
      </c>
      <c r="AM14" s="446">
        <f t="shared" si="8"/>
        <v>0</v>
      </c>
      <c r="AN14" s="416">
        <f t="shared" si="8"/>
        <v>0</v>
      </c>
      <c r="AO14" s="447"/>
      <c r="AP14" s="423">
        <f t="shared" si="9"/>
        <v>0</v>
      </c>
    </row>
    <row r="15" spans="1:42" ht="13">
      <c r="A15" s="490"/>
      <c r="B15" s="377"/>
      <c r="C15" s="374"/>
      <c r="D15" s="484"/>
      <c r="E15" s="473"/>
      <c r="F15" s="491"/>
      <c r="G15" s="415"/>
      <c r="H15" s="416"/>
      <c r="I15" s="446"/>
      <c r="J15" s="416"/>
      <c r="K15" s="445"/>
      <c r="L15" s="418"/>
      <c r="M15" s="446"/>
      <c r="N15" s="416"/>
      <c r="O15" s="445"/>
      <c r="P15" s="418"/>
      <c r="Q15" s="446"/>
      <c r="R15" s="416"/>
      <c r="S15" s="445"/>
      <c r="T15" s="416">
        <f t="shared" si="0"/>
        <v>0</v>
      </c>
      <c r="U15" s="446"/>
      <c r="V15" s="416"/>
      <c r="W15" s="445"/>
      <c r="X15" s="416">
        <f t="shared" si="1"/>
        <v>0</v>
      </c>
      <c r="Y15" s="446"/>
      <c r="Z15" s="416"/>
      <c r="AA15" s="446">
        <f t="shared" si="2"/>
        <v>0</v>
      </c>
      <c r="AB15" s="416">
        <f t="shared" si="2"/>
        <v>0</v>
      </c>
      <c r="AC15" s="446"/>
      <c r="AD15" s="416">
        <f t="shared" si="3"/>
        <v>0</v>
      </c>
      <c r="AE15" s="446">
        <f t="shared" si="4"/>
        <v>0</v>
      </c>
      <c r="AF15" s="416">
        <f t="shared" si="4"/>
        <v>0</v>
      </c>
      <c r="AG15" s="446"/>
      <c r="AH15" s="416">
        <f t="shared" si="5"/>
        <v>0</v>
      </c>
      <c r="AI15" s="446">
        <f t="shared" si="6"/>
        <v>0</v>
      </c>
      <c r="AJ15" s="416">
        <f t="shared" si="6"/>
        <v>0</v>
      </c>
      <c r="AK15" s="446"/>
      <c r="AL15" s="416">
        <f t="shared" si="7"/>
        <v>0</v>
      </c>
      <c r="AM15" s="446">
        <f t="shared" si="8"/>
        <v>0</v>
      </c>
      <c r="AN15" s="416">
        <f t="shared" si="8"/>
        <v>0</v>
      </c>
      <c r="AO15" s="447"/>
      <c r="AP15" s="423">
        <f t="shared" si="9"/>
        <v>0</v>
      </c>
    </row>
    <row r="16" spans="1:42" ht="37.5">
      <c r="A16" s="436" t="s">
        <v>267</v>
      </c>
      <c r="B16" s="28" t="s">
        <v>268</v>
      </c>
      <c r="C16" s="374" t="s">
        <v>37</v>
      </c>
      <c r="D16" s="472">
        <f>650*3/10000</f>
        <v>0.19500000000000001</v>
      </c>
      <c r="E16" s="473">
        <v>122000</v>
      </c>
      <c r="F16" s="491">
        <f>D16*E16</f>
        <v>23790</v>
      </c>
      <c r="G16" s="415"/>
      <c r="H16" s="416"/>
      <c r="I16" s="446">
        <f>4/36</f>
        <v>0.1111111111111111</v>
      </c>
      <c r="J16" s="416">
        <f>I16*F16</f>
        <v>2643.333333333333</v>
      </c>
      <c r="K16" s="445">
        <f>I16+G16</f>
        <v>0.1111111111111111</v>
      </c>
      <c r="L16" s="418">
        <f>J16+H16</f>
        <v>2643.333333333333</v>
      </c>
      <c r="M16" s="446">
        <v>0.28999999999999998</v>
      </c>
      <c r="N16" s="416">
        <f>M16*F16</f>
        <v>6899.0999999999995</v>
      </c>
      <c r="O16" s="445">
        <f>M16+K16</f>
        <v>0.40111111111111108</v>
      </c>
      <c r="P16" s="418">
        <f>O16*F16</f>
        <v>9542.4333333333325</v>
      </c>
      <c r="Q16" s="446">
        <v>0.15</v>
      </c>
      <c r="R16" s="416">
        <f>Q16*J16</f>
        <v>396.49999999999994</v>
      </c>
      <c r="S16" s="445">
        <f>Q16+O16</f>
        <v>0.55111111111111111</v>
      </c>
      <c r="T16" s="416">
        <f t="shared" si="0"/>
        <v>9938.9333333333325</v>
      </c>
      <c r="U16" s="446">
        <v>0.1</v>
      </c>
      <c r="V16" s="416">
        <f>U16*F16</f>
        <v>2379</v>
      </c>
      <c r="W16" s="445">
        <f>U16+S16</f>
        <v>0.65111111111111108</v>
      </c>
      <c r="X16" s="416">
        <f t="shared" si="1"/>
        <v>12317.933333333332</v>
      </c>
      <c r="Y16" s="446">
        <v>0</v>
      </c>
      <c r="Z16" s="416">
        <f>Y16*F16</f>
        <v>0</v>
      </c>
      <c r="AA16" s="446">
        <f t="shared" si="2"/>
        <v>0.65111111111111108</v>
      </c>
      <c r="AB16" s="416">
        <f t="shared" si="2"/>
        <v>12317.933333333332</v>
      </c>
      <c r="AC16" s="446">
        <v>0.1</v>
      </c>
      <c r="AD16" s="416">
        <f>AC16*F16+4159.98</f>
        <v>6538.98</v>
      </c>
      <c r="AE16" s="446">
        <f t="shared" si="4"/>
        <v>0.75111111111111106</v>
      </c>
      <c r="AF16" s="416">
        <f t="shared" si="4"/>
        <v>18856.91333333333</v>
      </c>
      <c r="AG16" s="446">
        <v>0.1</v>
      </c>
      <c r="AH16" s="416">
        <f>AG16*F16</f>
        <v>2379</v>
      </c>
      <c r="AI16" s="446">
        <f t="shared" si="6"/>
        <v>0.85111111111111104</v>
      </c>
      <c r="AJ16" s="416">
        <f t="shared" si="6"/>
        <v>21235.91333333333</v>
      </c>
      <c r="AK16" s="446">
        <v>0.1</v>
      </c>
      <c r="AL16" s="416">
        <f t="shared" si="7"/>
        <v>12200</v>
      </c>
      <c r="AM16" s="446">
        <f t="shared" si="8"/>
        <v>0.95111111111111102</v>
      </c>
      <c r="AN16" s="416">
        <f t="shared" si="8"/>
        <v>33435.91333333333</v>
      </c>
      <c r="AO16" s="447"/>
      <c r="AP16" s="423">
        <f t="shared" si="9"/>
        <v>0</v>
      </c>
    </row>
    <row r="17" spans="1:44" ht="12.5">
      <c r="A17" s="490"/>
      <c r="B17" s="378"/>
      <c r="C17" s="374"/>
      <c r="D17" s="472"/>
      <c r="E17" s="473"/>
      <c r="F17" s="491"/>
      <c r="G17" s="419"/>
      <c r="H17" s="418"/>
      <c r="I17" s="445"/>
      <c r="J17" s="418"/>
      <c r="K17" s="445"/>
      <c r="L17" s="418"/>
      <c r="M17" s="445"/>
      <c r="N17" s="418"/>
      <c r="O17" s="445"/>
      <c r="P17" s="418"/>
      <c r="Q17" s="445"/>
      <c r="R17" s="418"/>
      <c r="S17" s="445"/>
      <c r="T17" s="416">
        <f t="shared" si="0"/>
        <v>0</v>
      </c>
      <c r="U17" s="445"/>
      <c r="V17" s="418"/>
      <c r="W17" s="445"/>
      <c r="X17" s="416">
        <f t="shared" si="1"/>
        <v>0</v>
      </c>
      <c r="Y17" s="445"/>
      <c r="Z17" s="418"/>
      <c r="AA17" s="446">
        <f t="shared" si="2"/>
        <v>0</v>
      </c>
      <c r="AB17" s="416">
        <f t="shared" si="2"/>
        <v>0</v>
      </c>
      <c r="AC17" s="445"/>
      <c r="AD17" s="416">
        <f t="shared" si="3"/>
        <v>0</v>
      </c>
      <c r="AE17" s="446">
        <f t="shared" si="4"/>
        <v>0</v>
      </c>
      <c r="AF17" s="416">
        <f t="shared" si="4"/>
        <v>0</v>
      </c>
      <c r="AG17" s="445"/>
      <c r="AH17" s="416">
        <f t="shared" si="5"/>
        <v>0</v>
      </c>
      <c r="AI17" s="446">
        <f t="shared" si="6"/>
        <v>0</v>
      </c>
      <c r="AJ17" s="416">
        <f t="shared" si="6"/>
        <v>0</v>
      </c>
      <c r="AK17" s="445"/>
      <c r="AL17" s="416">
        <f t="shared" si="7"/>
        <v>0</v>
      </c>
      <c r="AM17" s="446">
        <f t="shared" si="8"/>
        <v>0</v>
      </c>
      <c r="AN17" s="416">
        <f t="shared" si="8"/>
        <v>0</v>
      </c>
      <c r="AO17" s="447"/>
      <c r="AP17" s="423">
        <f t="shared" si="9"/>
        <v>0</v>
      </c>
    </row>
    <row r="18" spans="1:44" ht="39">
      <c r="A18" s="492"/>
      <c r="B18" s="379" t="s">
        <v>748</v>
      </c>
      <c r="C18" s="374"/>
      <c r="D18" s="472"/>
      <c r="E18" s="487"/>
      <c r="F18" s="488"/>
      <c r="G18" s="415"/>
      <c r="H18" s="416"/>
      <c r="I18" s="446"/>
      <c r="J18" s="416"/>
      <c r="K18" s="445"/>
      <c r="L18" s="418"/>
      <c r="M18" s="446"/>
      <c r="N18" s="416"/>
      <c r="O18" s="445"/>
      <c r="P18" s="418"/>
      <c r="Q18" s="446"/>
      <c r="R18" s="416"/>
      <c r="S18" s="445"/>
      <c r="T18" s="416">
        <f t="shared" si="0"/>
        <v>0</v>
      </c>
      <c r="U18" s="446"/>
      <c r="V18" s="416"/>
      <c r="W18" s="445"/>
      <c r="X18" s="416">
        <f t="shared" si="1"/>
        <v>0</v>
      </c>
      <c r="Y18" s="446"/>
      <c r="Z18" s="416"/>
      <c r="AA18" s="446">
        <f t="shared" si="2"/>
        <v>0</v>
      </c>
      <c r="AB18" s="416">
        <f t="shared" si="2"/>
        <v>0</v>
      </c>
      <c r="AC18" s="446"/>
      <c r="AD18" s="416">
        <f t="shared" si="3"/>
        <v>0</v>
      </c>
      <c r="AE18" s="446">
        <f t="shared" si="4"/>
        <v>0</v>
      </c>
      <c r="AF18" s="416">
        <f t="shared" si="4"/>
        <v>0</v>
      </c>
      <c r="AG18" s="446"/>
      <c r="AH18" s="416">
        <f t="shared" si="5"/>
        <v>0</v>
      </c>
      <c r="AI18" s="446">
        <f t="shared" si="6"/>
        <v>0</v>
      </c>
      <c r="AJ18" s="416">
        <f t="shared" si="6"/>
        <v>0</v>
      </c>
      <c r="AK18" s="446"/>
      <c r="AL18" s="416">
        <f t="shared" si="7"/>
        <v>0</v>
      </c>
      <c r="AM18" s="446">
        <f t="shared" si="8"/>
        <v>0</v>
      </c>
      <c r="AN18" s="416">
        <f t="shared" si="8"/>
        <v>0</v>
      </c>
      <c r="AO18" s="447"/>
      <c r="AP18" s="423">
        <f t="shared" si="9"/>
        <v>0</v>
      </c>
    </row>
    <row r="19" spans="1:44" ht="12.5">
      <c r="A19" s="490"/>
      <c r="B19" s="378"/>
      <c r="C19" s="374"/>
      <c r="D19" s="472"/>
      <c r="E19" s="473"/>
      <c r="F19" s="491"/>
      <c r="G19" s="419"/>
      <c r="H19" s="418"/>
      <c r="I19" s="445"/>
      <c r="J19" s="418"/>
      <c r="K19" s="445"/>
      <c r="L19" s="418"/>
      <c r="M19" s="445"/>
      <c r="N19" s="418"/>
      <c r="O19" s="445"/>
      <c r="P19" s="418"/>
      <c r="Q19" s="445"/>
      <c r="R19" s="418"/>
      <c r="S19" s="445"/>
      <c r="T19" s="416">
        <f t="shared" si="0"/>
        <v>0</v>
      </c>
      <c r="U19" s="445"/>
      <c r="V19" s="418"/>
      <c r="W19" s="445"/>
      <c r="X19" s="416">
        <f t="shared" si="1"/>
        <v>0</v>
      </c>
      <c r="Y19" s="445"/>
      <c r="Z19" s="418"/>
      <c r="AA19" s="446">
        <f t="shared" si="2"/>
        <v>0</v>
      </c>
      <c r="AB19" s="416">
        <f t="shared" si="2"/>
        <v>0</v>
      </c>
      <c r="AC19" s="445"/>
      <c r="AD19" s="416">
        <f t="shared" si="3"/>
        <v>0</v>
      </c>
      <c r="AE19" s="446">
        <f t="shared" si="4"/>
        <v>0</v>
      </c>
      <c r="AF19" s="416">
        <f t="shared" si="4"/>
        <v>0</v>
      </c>
      <c r="AG19" s="445"/>
      <c r="AH19" s="416">
        <f t="shared" si="5"/>
        <v>0</v>
      </c>
      <c r="AI19" s="446">
        <f t="shared" si="6"/>
        <v>0</v>
      </c>
      <c r="AJ19" s="416">
        <f t="shared" si="6"/>
        <v>0</v>
      </c>
      <c r="AK19" s="445"/>
      <c r="AL19" s="416">
        <f t="shared" si="7"/>
        <v>0</v>
      </c>
      <c r="AM19" s="446">
        <f t="shared" si="8"/>
        <v>0</v>
      </c>
      <c r="AN19" s="416">
        <f t="shared" si="8"/>
        <v>0</v>
      </c>
      <c r="AO19" s="447"/>
      <c r="AP19" s="423">
        <f t="shared" si="9"/>
        <v>0</v>
      </c>
    </row>
    <row r="20" spans="1:44" ht="12.5">
      <c r="A20" s="490" t="s">
        <v>269</v>
      </c>
      <c r="B20" s="380" t="s">
        <v>270</v>
      </c>
      <c r="C20" s="186" t="s">
        <v>10</v>
      </c>
      <c r="D20" s="472">
        <v>3</v>
      </c>
      <c r="E20" s="473">
        <v>500</v>
      </c>
      <c r="F20" s="491">
        <f>D20*E20</f>
        <v>1500</v>
      </c>
      <c r="G20" s="415"/>
      <c r="H20" s="416"/>
      <c r="I20" s="446">
        <v>23</v>
      </c>
      <c r="J20" s="416">
        <f>E20*I20</f>
        <v>11500</v>
      </c>
      <c r="K20" s="445">
        <f t="shared" ref="K20:L22" si="10">G20+I20</f>
        <v>23</v>
      </c>
      <c r="L20" s="418">
        <f t="shared" si="10"/>
        <v>11500</v>
      </c>
      <c r="M20" s="446">
        <v>53</v>
      </c>
      <c r="N20" s="416">
        <f>M20*E20</f>
        <v>26500</v>
      </c>
      <c r="O20" s="445">
        <f>K20+M20</f>
        <v>76</v>
      </c>
      <c r="P20" s="418">
        <f>O20*E20</f>
        <v>38000</v>
      </c>
      <c r="Q20" s="446"/>
      <c r="R20" s="416">
        <f>Q20*I20</f>
        <v>0</v>
      </c>
      <c r="S20" s="445">
        <f>O20+Q20</f>
        <v>76</v>
      </c>
      <c r="T20" s="416">
        <f t="shared" si="0"/>
        <v>38000</v>
      </c>
      <c r="U20" s="446"/>
      <c r="V20" s="416">
        <f>U20*M20</f>
        <v>0</v>
      </c>
      <c r="W20" s="445">
        <f>S20+U20</f>
        <v>76</v>
      </c>
      <c r="X20" s="416">
        <f t="shared" si="1"/>
        <v>38000</v>
      </c>
      <c r="Y20" s="446"/>
      <c r="Z20" s="416">
        <f>Y20*Q20</f>
        <v>0</v>
      </c>
      <c r="AA20" s="446">
        <f t="shared" si="2"/>
        <v>76</v>
      </c>
      <c r="AB20" s="416">
        <f t="shared" si="2"/>
        <v>38000</v>
      </c>
      <c r="AC20" s="446">
        <v>120</v>
      </c>
      <c r="AD20" s="416">
        <f t="shared" si="3"/>
        <v>60000</v>
      </c>
      <c r="AE20" s="446">
        <f t="shared" si="4"/>
        <v>196</v>
      </c>
      <c r="AF20" s="416">
        <f t="shared" si="4"/>
        <v>98000</v>
      </c>
      <c r="AG20" s="446"/>
      <c r="AH20" s="416">
        <f t="shared" si="5"/>
        <v>0</v>
      </c>
      <c r="AI20" s="446">
        <f t="shared" si="6"/>
        <v>196</v>
      </c>
      <c r="AJ20" s="416">
        <f t="shared" si="6"/>
        <v>98000</v>
      </c>
      <c r="AK20" s="446"/>
      <c r="AL20" s="416">
        <f t="shared" si="7"/>
        <v>0</v>
      </c>
      <c r="AM20" s="446">
        <f t="shared" si="8"/>
        <v>196</v>
      </c>
      <c r="AN20" s="416">
        <f t="shared" si="8"/>
        <v>98000</v>
      </c>
      <c r="AO20" s="447"/>
      <c r="AP20" s="423">
        <f t="shared" si="9"/>
        <v>0</v>
      </c>
    </row>
    <row r="21" spans="1:44" ht="12.5">
      <c r="A21" s="490"/>
      <c r="B21" s="380"/>
      <c r="C21" s="374"/>
      <c r="D21" s="472"/>
      <c r="E21" s="487"/>
      <c r="F21" s="488"/>
      <c r="G21" s="415"/>
      <c r="H21" s="416"/>
      <c r="I21" s="446"/>
      <c r="J21" s="416">
        <f>E21*I21</f>
        <v>0</v>
      </c>
      <c r="K21" s="445">
        <f t="shared" si="10"/>
        <v>0</v>
      </c>
      <c r="L21" s="418">
        <f t="shared" si="10"/>
        <v>0</v>
      </c>
      <c r="M21" s="446"/>
      <c r="N21" s="416">
        <f>M21*E21</f>
        <v>0</v>
      </c>
      <c r="O21" s="445">
        <f>K21+M21</f>
        <v>0</v>
      </c>
      <c r="P21" s="418">
        <f>O21*E21</f>
        <v>0</v>
      </c>
      <c r="Q21" s="446"/>
      <c r="R21" s="416">
        <f>Q21*I21</f>
        <v>0</v>
      </c>
      <c r="S21" s="445">
        <f>O21+Q21</f>
        <v>0</v>
      </c>
      <c r="T21" s="416">
        <f t="shared" si="0"/>
        <v>0</v>
      </c>
      <c r="U21" s="446"/>
      <c r="V21" s="416">
        <f>U21*M21</f>
        <v>0</v>
      </c>
      <c r="W21" s="445">
        <f>S21+U21</f>
        <v>0</v>
      </c>
      <c r="X21" s="416">
        <f t="shared" si="1"/>
        <v>0</v>
      </c>
      <c r="Y21" s="446"/>
      <c r="Z21" s="416">
        <f>Y21*Q21</f>
        <v>0</v>
      </c>
      <c r="AA21" s="446">
        <f t="shared" si="2"/>
        <v>0</v>
      </c>
      <c r="AB21" s="416">
        <f t="shared" si="2"/>
        <v>0</v>
      </c>
      <c r="AC21" s="446"/>
      <c r="AD21" s="416">
        <f t="shared" si="3"/>
        <v>0</v>
      </c>
      <c r="AE21" s="446">
        <f t="shared" si="4"/>
        <v>0</v>
      </c>
      <c r="AF21" s="416">
        <f t="shared" si="4"/>
        <v>0</v>
      </c>
      <c r="AG21" s="446"/>
      <c r="AH21" s="416">
        <f t="shared" si="5"/>
        <v>0</v>
      </c>
      <c r="AI21" s="446">
        <f t="shared" si="6"/>
        <v>0</v>
      </c>
      <c r="AJ21" s="416">
        <f t="shared" si="6"/>
        <v>0</v>
      </c>
      <c r="AK21" s="446"/>
      <c r="AL21" s="416">
        <f t="shared" si="7"/>
        <v>0</v>
      </c>
      <c r="AM21" s="446">
        <f t="shared" si="8"/>
        <v>0</v>
      </c>
      <c r="AN21" s="416">
        <f t="shared" si="8"/>
        <v>0</v>
      </c>
      <c r="AO21" s="447"/>
      <c r="AP21" s="423">
        <f t="shared" si="9"/>
        <v>0</v>
      </c>
    </row>
    <row r="22" spans="1:44" ht="12.5">
      <c r="A22" s="490" t="s">
        <v>271</v>
      </c>
      <c r="B22" s="380" t="s">
        <v>272</v>
      </c>
      <c r="C22" s="186" t="s">
        <v>10</v>
      </c>
      <c r="D22" s="472">
        <v>1</v>
      </c>
      <c r="E22" s="473">
        <v>750</v>
      </c>
      <c r="F22" s="491">
        <f>D22*E22</f>
        <v>750</v>
      </c>
      <c r="G22" s="415"/>
      <c r="H22" s="416"/>
      <c r="I22" s="446">
        <v>8</v>
      </c>
      <c r="J22" s="416">
        <f>E22*I22</f>
        <v>6000</v>
      </c>
      <c r="K22" s="445">
        <f t="shared" si="10"/>
        <v>8</v>
      </c>
      <c r="L22" s="418">
        <f t="shared" si="10"/>
        <v>6000</v>
      </c>
      <c r="M22" s="446">
        <v>60</v>
      </c>
      <c r="N22" s="416">
        <f>M22*E22</f>
        <v>45000</v>
      </c>
      <c r="O22" s="445">
        <f>K22+M22</f>
        <v>68</v>
      </c>
      <c r="P22" s="418">
        <f>O22*E22</f>
        <v>51000</v>
      </c>
      <c r="Q22" s="446"/>
      <c r="R22" s="416">
        <f>Q22*I22</f>
        <v>0</v>
      </c>
      <c r="S22" s="445">
        <f>O22+Q22</f>
        <v>68</v>
      </c>
      <c r="T22" s="416">
        <f t="shared" si="0"/>
        <v>51000</v>
      </c>
      <c r="U22" s="446"/>
      <c r="V22" s="416">
        <f>U22*M22</f>
        <v>0</v>
      </c>
      <c r="W22" s="445">
        <f>S22+U22</f>
        <v>68</v>
      </c>
      <c r="X22" s="416">
        <f t="shared" si="1"/>
        <v>51000</v>
      </c>
      <c r="Y22" s="446"/>
      <c r="Z22" s="416">
        <f>Y22*Q22</f>
        <v>0</v>
      </c>
      <c r="AA22" s="446">
        <f t="shared" si="2"/>
        <v>68</v>
      </c>
      <c r="AB22" s="416">
        <f t="shared" si="2"/>
        <v>51000</v>
      </c>
      <c r="AC22" s="446">
        <v>80</v>
      </c>
      <c r="AD22" s="416">
        <f t="shared" si="3"/>
        <v>60000</v>
      </c>
      <c r="AE22" s="446">
        <f t="shared" si="4"/>
        <v>148</v>
      </c>
      <c r="AF22" s="416">
        <f t="shared" si="4"/>
        <v>111000</v>
      </c>
      <c r="AG22" s="446"/>
      <c r="AH22" s="416">
        <f t="shared" si="5"/>
        <v>0</v>
      </c>
      <c r="AI22" s="446">
        <f t="shared" si="6"/>
        <v>148</v>
      </c>
      <c r="AJ22" s="416">
        <f t="shared" si="6"/>
        <v>111000</v>
      </c>
      <c r="AK22" s="446"/>
      <c r="AL22" s="416">
        <f t="shared" si="7"/>
        <v>0</v>
      </c>
      <c r="AM22" s="446">
        <f t="shared" si="8"/>
        <v>148</v>
      </c>
      <c r="AN22" s="416">
        <f t="shared" si="8"/>
        <v>111000</v>
      </c>
      <c r="AO22" s="447"/>
      <c r="AP22" s="423">
        <f t="shared" si="9"/>
        <v>0</v>
      </c>
    </row>
    <row r="23" spans="1:44" ht="12.5">
      <c r="A23" s="490"/>
      <c r="B23" s="380"/>
      <c r="C23" s="186"/>
      <c r="D23" s="472"/>
      <c r="E23" s="473"/>
      <c r="F23" s="489"/>
      <c r="G23" s="415"/>
      <c r="H23" s="416"/>
      <c r="I23" s="446"/>
      <c r="J23" s="416"/>
      <c r="K23" s="445"/>
      <c r="L23" s="418"/>
      <c r="M23" s="446"/>
      <c r="N23" s="416"/>
      <c r="O23" s="445"/>
      <c r="P23" s="418"/>
      <c r="Q23" s="446"/>
      <c r="R23" s="416"/>
      <c r="S23" s="445"/>
      <c r="T23" s="416">
        <f t="shared" si="0"/>
        <v>0</v>
      </c>
      <c r="U23" s="446"/>
      <c r="V23" s="416"/>
      <c r="W23" s="445"/>
      <c r="X23" s="416">
        <f t="shared" si="1"/>
        <v>0</v>
      </c>
      <c r="Y23" s="446"/>
      <c r="Z23" s="416"/>
      <c r="AA23" s="446">
        <f t="shared" si="2"/>
        <v>0</v>
      </c>
      <c r="AB23" s="416">
        <f t="shared" si="2"/>
        <v>0</v>
      </c>
      <c r="AC23" s="446"/>
      <c r="AD23" s="416">
        <f t="shared" si="3"/>
        <v>0</v>
      </c>
      <c r="AE23" s="446">
        <f t="shared" si="4"/>
        <v>0</v>
      </c>
      <c r="AF23" s="416">
        <f t="shared" si="4"/>
        <v>0</v>
      </c>
      <c r="AG23" s="446"/>
      <c r="AH23" s="416">
        <f t="shared" si="5"/>
        <v>0</v>
      </c>
      <c r="AI23" s="446">
        <f t="shared" si="6"/>
        <v>0</v>
      </c>
      <c r="AJ23" s="416">
        <f t="shared" si="6"/>
        <v>0</v>
      </c>
      <c r="AK23" s="446"/>
      <c r="AL23" s="416">
        <f t="shared" si="7"/>
        <v>0</v>
      </c>
      <c r="AM23" s="446">
        <f t="shared" si="8"/>
        <v>0</v>
      </c>
      <c r="AN23" s="416">
        <f t="shared" si="8"/>
        <v>0</v>
      </c>
      <c r="AO23" s="447"/>
      <c r="AP23" s="423">
        <f t="shared" si="9"/>
        <v>0</v>
      </c>
    </row>
    <row r="24" spans="1:44" ht="13">
      <c r="A24" s="490"/>
      <c r="B24" s="376" t="s">
        <v>749</v>
      </c>
      <c r="C24" s="374"/>
      <c r="D24" s="484"/>
      <c r="E24" s="487"/>
      <c r="F24" s="488"/>
      <c r="G24" s="415"/>
      <c r="H24" s="416"/>
      <c r="I24" s="446"/>
      <c r="J24" s="416"/>
      <c r="K24" s="445"/>
      <c r="L24" s="418"/>
      <c r="M24" s="446"/>
      <c r="N24" s="416"/>
      <c r="O24" s="445"/>
      <c r="P24" s="418"/>
      <c r="Q24" s="446"/>
      <c r="R24" s="416"/>
      <c r="S24" s="445"/>
      <c r="T24" s="416">
        <f t="shared" si="0"/>
        <v>0</v>
      </c>
      <c r="U24" s="446"/>
      <c r="V24" s="416"/>
      <c r="W24" s="445"/>
      <c r="X24" s="416">
        <f t="shared" si="1"/>
        <v>0</v>
      </c>
      <c r="Y24" s="446"/>
      <c r="Z24" s="416"/>
      <c r="AA24" s="446">
        <f t="shared" si="2"/>
        <v>0</v>
      </c>
      <c r="AB24" s="416">
        <f t="shared" si="2"/>
        <v>0</v>
      </c>
      <c r="AC24" s="446"/>
      <c r="AD24" s="416">
        <f t="shared" si="3"/>
        <v>0</v>
      </c>
      <c r="AE24" s="446">
        <f t="shared" si="4"/>
        <v>0</v>
      </c>
      <c r="AF24" s="416">
        <f t="shared" si="4"/>
        <v>0</v>
      </c>
      <c r="AG24" s="446"/>
      <c r="AH24" s="416">
        <f t="shared" si="5"/>
        <v>0</v>
      </c>
      <c r="AI24" s="446">
        <f t="shared" si="6"/>
        <v>0</v>
      </c>
      <c r="AJ24" s="416">
        <f t="shared" si="6"/>
        <v>0</v>
      </c>
      <c r="AK24" s="446"/>
      <c r="AL24" s="416">
        <f t="shared" si="7"/>
        <v>0</v>
      </c>
      <c r="AM24" s="446">
        <f t="shared" si="8"/>
        <v>0</v>
      </c>
      <c r="AN24" s="416">
        <f t="shared" si="8"/>
        <v>0</v>
      </c>
      <c r="AO24" s="447"/>
      <c r="AP24" s="423">
        <f t="shared" si="9"/>
        <v>0</v>
      </c>
    </row>
    <row r="25" spans="1:44" ht="12.5">
      <c r="A25" s="492"/>
      <c r="B25" s="381"/>
      <c r="C25" s="374"/>
      <c r="D25" s="472"/>
      <c r="E25" s="487"/>
      <c r="F25" s="488"/>
      <c r="G25" s="415"/>
      <c r="H25" s="416"/>
      <c r="I25" s="446"/>
      <c r="J25" s="416"/>
      <c r="K25" s="445"/>
      <c r="L25" s="418"/>
      <c r="M25" s="446"/>
      <c r="N25" s="416"/>
      <c r="O25" s="445"/>
      <c r="P25" s="418"/>
      <c r="Q25" s="446"/>
      <c r="R25" s="416"/>
      <c r="S25" s="445"/>
      <c r="T25" s="416">
        <f t="shared" si="0"/>
        <v>0</v>
      </c>
      <c r="U25" s="446"/>
      <c r="V25" s="416"/>
      <c r="W25" s="445"/>
      <c r="X25" s="416">
        <f t="shared" si="1"/>
        <v>0</v>
      </c>
      <c r="Y25" s="446"/>
      <c r="Z25" s="416"/>
      <c r="AA25" s="446">
        <f t="shared" si="2"/>
        <v>0</v>
      </c>
      <c r="AB25" s="416">
        <f t="shared" si="2"/>
        <v>0</v>
      </c>
      <c r="AC25" s="446"/>
      <c r="AD25" s="416">
        <f t="shared" si="3"/>
        <v>0</v>
      </c>
      <c r="AE25" s="446">
        <f t="shared" si="4"/>
        <v>0</v>
      </c>
      <c r="AF25" s="416">
        <f t="shared" si="4"/>
        <v>0</v>
      </c>
      <c r="AG25" s="446"/>
      <c r="AH25" s="416">
        <f t="shared" si="5"/>
        <v>0</v>
      </c>
      <c r="AI25" s="446">
        <f t="shared" si="6"/>
        <v>0</v>
      </c>
      <c r="AJ25" s="416">
        <f t="shared" si="6"/>
        <v>0</v>
      </c>
      <c r="AK25" s="446"/>
      <c r="AL25" s="416">
        <f t="shared" si="7"/>
        <v>0</v>
      </c>
      <c r="AM25" s="446">
        <f t="shared" si="8"/>
        <v>0</v>
      </c>
      <c r="AN25" s="416">
        <f t="shared" si="8"/>
        <v>0</v>
      </c>
      <c r="AO25" s="447"/>
      <c r="AP25" s="423">
        <f t="shared" si="9"/>
        <v>0</v>
      </c>
    </row>
    <row r="26" spans="1:44" ht="78">
      <c r="A26" s="493"/>
      <c r="B26" s="382" t="s">
        <v>750</v>
      </c>
      <c r="C26" s="383"/>
      <c r="D26" s="494"/>
      <c r="E26" s="495"/>
      <c r="F26" s="488"/>
      <c r="G26" s="415"/>
      <c r="H26" s="416"/>
      <c r="I26" s="446"/>
      <c r="J26" s="416"/>
      <c r="K26" s="445"/>
      <c r="L26" s="418"/>
      <c r="M26" s="446"/>
      <c r="N26" s="416"/>
      <c r="O26" s="445"/>
      <c r="P26" s="418"/>
      <c r="Q26" s="446"/>
      <c r="R26" s="416"/>
      <c r="S26" s="445"/>
      <c r="T26" s="416">
        <f t="shared" si="0"/>
        <v>0</v>
      </c>
      <c r="U26" s="446"/>
      <c r="V26" s="416"/>
      <c r="W26" s="445"/>
      <c r="X26" s="416">
        <f t="shared" si="1"/>
        <v>0</v>
      </c>
      <c r="Y26" s="446"/>
      <c r="Z26" s="416"/>
      <c r="AA26" s="446">
        <f t="shared" si="2"/>
        <v>0</v>
      </c>
      <c r="AB26" s="416">
        <f t="shared" si="2"/>
        <v>0</v>
      </c>
      <c r="AC26" s="446"/>
      <c r="AD26" s="416">
        <f t="shared" si="3"/>
        <v>0</v>
      </c>
      <c r="AE26" s="446">
        <f t="shared" si="4"/>
        <v>0</v>
      </c>
      <c r="AF26" s="416">
        <f t="shared" si="4"/>
        <v>0</v>
      </c>
      <c r="AG26" s="446"/>
      <c r="AH26" s="416">
        <f t="shared" si="5"/>
        <v>0</v>
      </c>
      <c r="AI26" s="446">
        <f t="shared" si="6"/>
        <v>0</v>
      </c>
      <c r="AJ26" s="416">
        <f t="shared" si="6"/>
        <v>0</v>
      </c>
      <c r="AK26" s="446"/>
      <c r="AL26" s="416">
        <f t="shared" si="7"/>
        <v>0</v>
      </c>
      <c r="AM26" s="446">
        <f t="shared" si="8"/>
        <v>0</v>
      </c>
      <c r="AN26" s="416">
        <f t="shared" si="8"/>
        <v>0</v>
      </c>
      <c r="AO26" s="447"/>
      <c r="AP26" s="423">
        <f t="shared" si="9"/>
        <v>0</v>
      </c>
    </row>
    <row r="27" spans="1:44" ht="12.5">
      <c r="A27" s="493"/>
      <c r="B27" s="384"/>
      <c r="C27" s="383"/>
      <c r="D27" s="494"/>
      <c r="E27" s="495"/>
      <c r="F27" s="488"/>
      <c r="G27" s="415"/>
      <c r="H27" s="416"/>
      <c r="I27" s="446"/>
      <c r="J27" s="416"/>
      <c r="K27" s="445"/>
      <c r="L27" s="418"/>
      <c r="M27" s="446"/>
      <c r="N27" s="416"/>
      <c r="O27" s="445"/>
      <c r="P27" s="418"/>
      <c r="Q27" s="446"/>
      <c r="R27" s="416"/>
      <c r="S27" s="445"/>
      <c r="T27" s="416">
        <f t="shared" si="0"/>
        <v>0</v>
      </c>
      <c r="U27" s="446"/>
      <c r="V27" s="416"/>
      <c r="W27" s="445"/>
      <c r="X27" s="416">
        <f t="shared" si="1"/>
        <v>0</v>
      </c>
      <c r="Y27" s="446"/>
      <c r="Z27" s="416"/>
      <c r="AA27" s="446">
        <f t="shared" ref="AA27:AB33" si="11">Y27+W27</f>
        <v>0</v>
      </c>
      <c r="AB27" s="416">
        <f t="shared" si="11"/>
        <v>0</v>
      </c>
      <c r="AC27" s="446"/>
      <c r="AD27" s="416">
        <f t="shared" si="3"/>
        <v>0</v>
      </c>
      <c r="AE27" s="446">
        <f t="shared" ref="AE27:AF33" si="12">AC27+AA27</f>
        <v>0</v>
      </c>
      <c r="AF27" s="416">
        <f t="shared" si="12"/>
        <v>0</v>
      </c>
      <c r="AG27" s="446"/>
      <c r="AH27" s="416">
        <f t="shared" si="5"/>
        <v>0</v>
      </c>
      <c r="AI27" s="446">
        <f t="shared" ref="AI27:AJ33" si="13">AG27+AE27</f>
        <v>0</v>
      </c>
      <c r="AJ27" s="416">
        <f t="shared" si="13"/>
        <v>0</v>
      </c>
      <c r="AK27" s="446"/>
      <c r="AL27" s="416">
        <f t="shared" si="7"/>
        <v>0</v>
      </c>
      <c r="AM27" s="446">
        <f t="shared" ref="AM27:AN33" si="14">AK27+AI27</f>
        <v>0</v>
      </c>
      <c r="AN27" s="416">
        <f t="shared" si="14"/>
        <v>0</v>
      </c>
      <c r="AO27" s="447"/>
      <c r="AP27" s="423">
        <f t="shared" si="9"/>
        <v>0</v>
      </c>
    </row>
    <row r="28" spans="1:44" ht="12.5">
      <c r="A28" s="496" t="s">
        <v>751</v>
      </c>
      <c r="B28" s="385" t="s">
        <v>752</v>
      </c>
      <c r="C28" s="168" t="s">
        <v>9</v>
      </c>
      <c r="D28" s="494">
        <f>300*AR28</f>
        <v>30</v>
      </c>
      <c r="E28" s="497">
        <v>17465</v>
      </c>
      <c r="F28" s="489">
        <f>D28*E28</f>
        <v>523950</v>
      </c>
      <c r="G28" s="415"/>
      <c r="H28" s="416"/>
      <c r="I28" s="446"/>
      <c r="J28" s="416"/>
      <c r="K28" s="445"/>
      <c r="L28" s="418"/>
      <c r="M28" s="446">
        <v>600</v>
      </c>
      <c r="N28" s="416">
        <v>17465</v>
      </c>
      <c r="O28" s="445"/>
      <c r="P28" s="418"/>
      <c r="Q28" s="446"/>
      <c r="R28" s="416"/>
      <c r="S28" s="445"/>
      <c r="T28" s="416">
        <f t="shared" si="0"/>
        <v>0</v>
      </c>
      <c r="U28" s="446"/>
      <c r="V28" s="416"/>
      <c r="W28" s="445"/>
      <c r="X28" s="416">
        <f t="shared" si="1"/>
        <v>0</v>
      </c>
      <c r="Y28" s="446"/>
      <c r="Z28" s="416"/>
      <c r="AA28" s="446">
        <f t="shared" si="11"/>
        <v>0</v>
      </c>
      <c r="AB28" s="416">
        <f t="shared" si="11"/>
        <v>0</v>
      </c>
      <c r="AC28" s="446"/>
      <c r="AD28" s="416">
        <f t="shared" si="3"/>
        <v>0</v>
      </c>
      <c r="AE28" s="446">
        <f t="shared" si="12"/>
        <v>0</v>
      </c>
      <c r="AF28" s="416">
        <f t="shared" si="12"/>
        <v>0</v>
      </c>
      <c r="AG28" s="446"/>
      <c r="AH28" s="416">
        <f t="shared" si="5"/>
        <v>0</v>
      </c>
      <c r="AI28" s="446">
        <f t="shared" si="13"/>
        <v>0</v>
      </c>
      <c r="AJ28" s="416">
        <f t="shared" si="13"/>
        <v>0</v>
      </c>
      <c r="AK28" s="446"/>
      <c r="AL28" s="416">
        <f t="shared" si="7"/>
        <v>0</v>
      </c>
      <c r="AM28" s="446">
        <f t="shared" si="14"/>
        <v>0</v>
      </c>
      <c r="AN28" s="416">
        <f t="shared" si="14"/>
        <v>0</v>
      </c>
      <c r="AO28" s="447"/>
      <c r="AP28" s="423">
        <f t="shared" si="9"/>
        <v>0</v>
      </c>
      <c r="AR28" s="243">
        <v>0.1</v>
      </c>
    </row>
    <row r="29" spans="1:44" ht="12.5">
      <c r="A29" s="496"/>
      <c r="B29" s="386"/>
      <c r="C29" s="383"/>
      <c r="D29" s="494"/>
      <c r="E29" s="495"/>
      <c r="F29" s="488"/>
      <c r="G29" s="415"/>
      <c r="H29" s="416"/>
      <c r="I29" s="446"/>
      <c r="J29" s="416"/>
      <c r="K29" s="445"/>
      <c r="L29" s="418"/>
      <c r="M29" s="446">
        <v>450</v>
      </c>
      <c r="N29" s="416">
        <f>M29*N28/M28</f>
        <v>13098.75</v>
      </c>
      <c r="O29" s="445"/>
      <c r="P29" s="418"/>
      <c r="Q29" s="446"/>
      <c r="R29" s="416"/>
      <c r="S29" s="445"/>
      <c r="T29" s="416">
        <f t="shared" si="0"/>
        <v>0</v>
      </c>
      <c r="U29" s="446"/>
      <c r="V29" s="416"/>
      <c r="W29" s="445"/>
      <c r="X29" s="416">
        <f t="shared" si="1"/>
        <v>0</v>
      </c>
      <c r="Y29" s="446"/>
      <c r="Z29" s="416"/>
      <c r="AA29" s="446">
        <f t="shared" si="11"/>
        <v>0</v>
      </c>
      <c r="AB29" s="416">
        <f t="shared" si="11"/>
        <v>0</v>
      </c>
      <c r="AC29" s="446"/>
      <c r="AD29" s="416">
        <f t="shared" si="3"/>
        <v>0</v>
      </c>
      <c r="AE29" s="446">
        <f t="shared" si="12"/>
        <v>0</v>
      </c>
      <c r="AF29" s="416">
        <f t="shared" si="12"/>
        <v>0</v>
      </c>
      <c r="AG29" s="446"/>
      <c r="AH29" s="416">
        <f t="shared" si="5"/>
        <v>0</v>
      </c>
      <c r="AI29" s="446">
        <f t="shared" si="13"/>
        <v>0</v>
      </c>
      <c r="AJ29" s="416">
        <f t="shared" si="13"/>
        <v>0</v>
      </c>
      <c r="AK29" s="446"/>
      <c r="AL29" s="416">
        <f t="shared" si="7"/>
        <v>0</v>
      </c>
      <c r="AM29" s="446">
        <f t="shared" si="14"/>
        <v>0</v>
      </c>
      <c r="AN29" s="416">
        <f t="shared" si="14"/>
        <v>0</v>
      </c>
      <c r="AO29" s="447"/>
      <c r="AP29" s="423">
        <f t="shared" si="9"/>
        <v>0</v>
      </c>
    </row>
    <row r="30" spans="1:44" ht="25">
      <c r="A30" s="496" t="s">
        <v>753</v>
      </c>
      <c r="B30" s="385" t="s">
        <v>754</v>
      </c>
      <c r="C30" s="168" t="s">
        <v>9</v>
      </c>
      <c r="D30" s="494">
        <f>300*AR30</f>
        <v>180</v>
      </c>
      <c r="E30" s="497">
        <v>18100</v>
      </c>
      <c r="F30" s="489">
        <f>D30*E30</f>
        <v>3258000</v>
      </c>
      <c r="G30" s="415"/>
      <c r="H30" s="416"/>
      <c r="I30" s="446"/>
      <c r="J30" s="416"/>
      <c r="K30" s="445"/>
      <c r="L30" s="418"/>
      <c r="M30" s="446"/>
      <c r="N30" s="416"/>
      <c r="O30" s="445"/>
      <c r="P30" s="418"/>
      <c r="Q30" s="446"/>
      <c r="R30" s="416"/>
      <c r="S30" s="445"/>
      <c r="T30" s="416">
        <f t="shared" si="0"/>
        <v>0</v>
      </c>
      <c r="U30" s="446"/>
      <c r="V30" s="416"/>
      <c r="W30" s="445"/>
      <c r="X30" s="416">
        <f t="shared" si="1"/>
        <v>0</v>
      </c>
      <c r="Y30" s="446"/>
      <c r="Z30" s="416"/>
      <c r="AA30" s="446">
        <f t="shared" si="11"/>
        <v>0</v>
      </c>
      <c r="AB30" s="416">
        <f t="shared" si="11"/>
        <v>0</v>
      </c>
      <c r="AC30" s="446"/>
      <c r="AD30" s="416">
        <f t="shared" si="3"/>
        <v>0</v>
      </c>
      <c r="AE30" s="446">
        <f t="shared" si="12"/>
        <v>0</v>
      </c>
      <c r="AF30" s="416">
        <f t="shared" si="12"/>
        <v>0</v>
      </c>
      <c r="AG30" s="446"/>
      <c r="AH30" s="416">
        <f t="shared" si="5"/>
        <v>0</v>
      </c>
      <c r="AI30" s="446">
        <f t="shared" si="13"/>
        <v>0</v>
      </c>
      <c r="AJ30" s="416">
        <f t="shared" si="13"/>
        <v>0</v>
      </c>
      <c r="AK30" s="446"/>
      <c r="AL30" s="416">
        <f t="shared" si="7"/>
        <v>0</v>
      </c>
      <c r="AM30" s="446">
        <f t="shared" si="14"/>
        <v>0</v>
      </c>
      <c r="AN30" s="416">
        <f t="shared" si="14"/>
        <v>0</v>
      </c>
      <c r="AO30" s="447"/>
      <c r="AP30" s="423">
        <f t="shared" si="9"/>
        <v>0</v>
      </c>
      <c r="AR30" s="243">
        <v>0.6</v>
      </c>
    </row>
    <row r="31" spans="1:44" ht="12.5">
      <c r="A31" s="496"/>
      <c r="B31" s="386"/>
      <c r="C31" s="383"/>
      <c r="D31" s="494"/>
      <c r="E31" s="495"/>
      <c r="F31" s="488"/>
      <c r="G31" s="415"/>
      <c r="H31" s="416"/>
      <c r="I31" s="446"/>
      <c r="J31" s="416"/>
      <c r="K31" s="445"/>
      <c r="L31" s="418"/>
      <c r="M31" s="446"/>
      <c r="N31" s="416"/>
      <c r="O31" s="445"/>
      <c r="P31" s="418"/>
      <c r="Q31" s="446"/>
      <c r="R31" s="416"/>
      <c r="S31" s="445"/>
      <c r="T31" s="416">
        <f t="shared" si="0"/>
        <v>0</v>
      </c>
      <c r="U31" s="446"/>
      <c r="V31" s="416"/>
      <c r="W31" s="445"/>
      <c r="X31" s="416">
        <f t="shared" si="1"/>
        <v>0</v>
      </c>
      <c r="Y31" s="446"/>
      <c r="Z31" s="416"/>
      <c r="AA31" s="446">
        <f t="shared" si="11"/>
        <v>0</v>
      </c>
      <c r="AB31" s="416">
        <f t="shared" si="11"/>
        <v>0</v>
      </c>
      <c r="AC31" s="446"/>
      <c r="AD31" s="416">
        <f t="shared" si="3"/>
        <v>0</v>
      </c>
      <c r="AE31" s="446">
        <f t="shared" si="12"/>
        <v>0</v>
      </c>
      <c r="AF31" s="416">
        <f t="shared" si="12"/>
        <v>0</v>
      </c>
      <c r="AG31" s="446"/>
      <c r="AH31" s="416">
        <f t="shared" si="5"/>
        <v>0</v>
      </c>
      <c r="AI31" s="446">
        <f t="shared" si="13"/>
        <v>0</v>
      </c>
      <c r="AJ31" s="416">
        <f t="shared" si="13"/>
        <v>0</v>
      </c>
      <c r="AK31" s="446"/>
      <c r="AL31" s="416">
        <f t="shared" si="7"/>
        <v>0</v>
      </c>
      <c r="AM31" s="446">
        <f t="shared" si="14"/>
        <v>0</v>
      </c>
      <c r="AN31" s="416">
        <f t="shared" si="14"/>
        <v>0</v>
      </c>
      <c r="AO31" s="447"/>
      <c r="AP31" s="423">
        <f t="shared" si="9"/>
        <v>0</v>
      </c>
    </row>
    <row r="32" spans="1:44" ht="12.5">
      <c r="A32" s="496" t="s">
        <v>755</v>
      </c>
      <c r="B32" s="385" t="s">
        <v>756</v>
      </c>
      <c r="C32" s="168" t="s">
        <v>9</v>
      </c>
      <c r="D32" s="494">
        <f>300*AR32</f>
        <v>90</v>
      </c>
      <c r="E32" s="497">
        <v>18405</v>
      </c>
      <c r="F32" s="489">
        <f>D32*E32</f>
        <v>1656450</v>
      </c>
      <c r="G32" s="415"/>
      <c r="H32" s="416"/>
      <c r="I32" s="446"/>
      <c r="J32" s="416"/>
      <c r="K32" s="445"/>
      <c r="L32" s="418"/>
      <c r="M32" s="446">
        <v>570</v>
      </c>
      <c r="N32" s="416">
        <f>M32*E32</f>
        <v>10490850</v>
      </c>
      <c r="O32" s="445">
        <f>M32+K32</f>
        <v>570</v>
      </c>
      <c r="P32" s="418">
        <f>O32*E32</f>
        <v>10490850</v>
      </c>
      <c r="Q32" s="446"/>
      <c r="R32" s="416">
        <f>Q32*I32</f>
        <v>0</v>
      </c>
      <c r="S32" s="445">
        <f>Q32+O32</f>
        <v>570</v>
      </c>
      <c r="T32" s="416">
        <f t="shared" si="0"/>
        <v>10490850</v>
      </c>
      <c r="U32" s="446"/>
      <c r="V32" s="416">
        <f>U32*M32</f>
        <v>0</v>
      </c>
      <c r="W32" s="445">
        <f>U32+S32</f>
        <v>570</v>
      </c>
      <c r="X32" s="416">
        <f t="shared" si="1"/>
        <v>10490850</v>
      </c>
      <c r="Y32" s="446"/>
      <c r="Z32" s="416">
        <f>Y32*Q32</f>
        <v>0</v>
      </c>
      <c r="AA32" s="446">
        <f t="shared" si="11"/>
        <v>570</v>
      </c>
      <c r="AB32" s="416">
        <f t="shared" si="11"/>
        <v>10490850</v>
      </c>
      <c r="AC32" s="446">
        <v>500</v>
      </c>
      <c r="AD32" s="416">
        <f t="shared" si="3"/>
        <v>9202500</v>
      </c>
      <c r="AE32" s="446">
        <f t="shared" si="12"/>
        <v>1070</v>
      </c>
      <c r="AF32" s="416">
        <f t="shared" si="12"/>
        <v>19693350</v>
      </c>
      <c r="AG32" s="446">
        <v>970</v>
      </c>
      <c r="AH32" s="416">
        <f t="shared" si="5"/>
        <v>17852850</v>
      </c>
      <c r="AI32" s="446">
        <f t="shared" si="13"/>
        <v>2040</v>
      </c>
      <c r="AJ32" s="416">
        <f t="shared" si="13"/>
        <v>37546200</v>
      </c>
      <c r="AK32" s="446"/>
      <c r="AL32" s="416">
        <f t="shared" si="7"/>
        <v>0</v>
      </c>
      <c r="AM32" s="446">
        <f t="shared" si="14"/>
        <v>2040</v>
      </c>
      <c r="AN32" s="416">
        <f t="shared" si="14"/>
        <v>37546200</v>
      </c>
      <c r="AO32" s="447"/>
      <c r="AP32" s="423">
        <f t="shared" si="9"/>
        <v>0</v>
      </c>
      <c r="AR32" s="243">
        <v>0.3</v>
      </c>
    </row>
    <row r="33" spans="1:42" ht="12.5">
      <c r="A33" s="496"/>
      <c r="B33" s="386"/>
      <c r="C33" s="383"/>
      <c r="D33" s="494"/>
      <c r="E33" s="495"/>
      <c r="F33" s="489"/>
      <c r="G33" s="415"/>
      <c r="H33" s="416"/>
      <c r="I33" s="446"/>
      <c r="J33" s="416">
        <f>65+390+195</f>
        <v>650</v>
      </c>
      <c r="K33" s="445"/>
      <c r="L33" s="418">
        <f>F32+F30+F28</f>
        <v>5438400</v>
      </c>
      <c r="M33" s="446"/>
      <c r="N33" s="416">
        <f>M33*E33</f>
        <v>0</v>
      </c>
      <c r="O33" s="445">
        <f>M33+K33</f>
        <v>0</v>
      </c>
      <c r="P33" s="418">
        <f>O33*E33</f>
        <v>0</v>
      </c>
      <c r="Q33" s="446"/>
      <c r="R33" s="416">
        <f>Q33*I33</f>
        <v>0</v>
      </c>
      <c r="S33" s="445">
        <f>Q33+O33</f>
        <v>0</v>
      </c>
      <c r="T33" s="416">
        <f t="shared" si="0"/>
        <v>0</v>
      </c>
      <c r="U33" s="446"/>
      <c r="V33" s="416">
        <f>U33*M33</f>
        <v>0</v>
      </c>
      <c r="W33" s="445">
        <f>U33+S33</f>
        <v>0</v>
      </c>
      <c r="X33" s="416">
        <f t="shared" si="1"/>
        <v>0</v>
      </c>
      <c r="Y33" s="446"/>
      <c r="Z33" s="416">
        <f>Y33*Q33</f>
        <v>0</v>
      </c>
      <c r="AA33" s="446">
        <f t="shared" si="11"/>
        <v>0</v>
      </c>
      <c r="AB33" s="416">
        <f t="shared" si="11"/>
        <v>0</v>
      </c>
      <c r="AC33" s="446"/>
      <c r="AD33" s="416">
        <f t="shared" si="3"/>
        <v>0</v>
      </c>
      <c r="AE33" s="446">
        <f t="shared" si="12"/>
        <v>0</v>
      </c>
      <c r="AF33" s="416">
        <f t="shared" si="12"/>
        <v>0</v>
      </c>
      <c r="AG33" s="446"/>
      <c r="AH33" s="416">
        <f t="shared" si="5"/>
        <v>0</v>
      </c>
      <c r="AI33" s="446">
        <f t="shared" si="13"/>
        <v>0</v>
      </c>
      <c r="AJ33" s="416">
        <f t="shared" si="13"/>
        <v>0</v>
      </c>
      <c r="AK33" s="446"/>
      <c r="AL33" s="416">
        <f t="shared" si="7"/>
        <v>0</v>
      </c>
      <c r="AM33" s="446">
        <f t="shared" si="14"/>
        <v>0</v>
      </c>
      <c r="AN33" s="416">
        <f t="shared" si="14"/>
        <v>0</v>
      </c>
      <c r="AO33" s="447"/>
      <c r="AP33" s="423">
        <f t="shared" si="9"/>
        <v>0</v>
      </c>
    </row>
    <row r="34" spans="1:42" ht="12.5">
      <c r="A34" s="496" t="s">
        <v>906</v>
      </c>
      <c r="B34" s="498" t="s">
        <v>904</v>
      </c>
      <c r="C34" s="383" t="s">
        <v>9</v>
      </c>
      <c r="D34" s="494">
        <f>350*0.1</f>
        <v>35</v>
      </c>
      <c r="E34" s="495">
        <v>11840</v>
      </c>
      <c r="F34" s="489">
        <f>D34*E34</f>
        <v>414400</v>
      </c>
      <c r="G34" s="415"/>
      <c r="H34" s="416"/>
      <c r="I34" s="446"/>
      <c r="J34" s="416"/>
      <c r="K34" s="445"/>
      <c r="L34" s="418"/>
      <c r="M34" s="446"/>
      <c r="N34" s="416"/>
      <c r="O34" s="445"/>
      <c r="P34" s="418"/>
      <c r="Q34" s="446"/>
      <c r="R34" s="416"/>
      <c r="S34" s="445"/>
      <c r="T34" s="416"/>
      <c r="U34" s="446"/>
      <c r="V34" s="416"/>
      <c r="W34" s="445"/>
      <c r="X34" s="416"/>
      <c r="Y34" s="446"/>
      <c r="Z34" s="416"/>
      <c r="AA34" s="446"/>
      <c r="AB34" s="416"/>
      <c r="AC34" s="446"/>
      <c r="AD34" s="416"/>
      <c r="AE34" s="446"/>
      <c r="AF34" s="416"/>
      <c r="AG34" s="446"/>
      <c r="AH34" s="416"/>
      <c r="AI34" s="446"/>
      <c r="AJ34" s="416"/>
      <c r="AK34" s="446"/>
      <c r="AL34" s="416"/>
      <c r="AM34" s="446"/>
      <c r="AN34" s="416"/>
      <c r="AO34" s="447"/>
      <c r="AP34" s="423"/>
    </row>
    <row r="35" spans="1:42" ht="12.5">
      <c r="A35" s="496"/>
      <c r="B35" s="386"/>
      <c r="C35" s="383"/>
      <c r="D35" s="494"/>
      <c r="E35" s="495"/>
      <c r="F35" s="489"/>
      <c r="G35" s="415"/>
      <c r="H35" s="416"/>
      <c r="I35" s="446"/>
      <c r="J35" s="416"/>
      <c r="K35" s="445"/>
      <c r="L35" s="418"/>
      <c r="M35" s="446"/>
      <c r="N35" s="416"/>
      <c r="O35" s="445"/>
      <c r="P35" s="418"/>
      <c r="Q35" s="446"/>
      <c r="R35" s="416"/>
      <c r="S35" s="445"/>
      <c r="T35" s="416"/>
      <c r="U35" s="446"/>
      <c r="V35" s="416"/>
      <c r="W35" s="445"/>
      <c r="X35" s="416"/>
      <c r="Y35" s="446"/>
      <c r="Z35" s="416"/>
      <c r="AA35" s="446"/>
      <c r="AB35" s="416"/>
      <c r="AC35" s="446"/>
      <c r="AD35" s="416"/>
      <c r="AE35" s="446"/>
      <c r="AF35" s="416"/>
      <c r="AG35" s="446"/>
      <c r="AH35" s="416"/>
      <c r="AI35" s="446"/>
      <c r="AJ35" s="416"/>
      <c r="AK35" s="446"/>
      <c r="AL35" s="416"/>
      <c r="AM35" s="446"/>
      <c r="AN35" s="416"/>
      <c r="AO35" s="447"/>
      <c r="AP35" s="423"/>
    </row>
    <row r="36" spans="1:42" ht="25">
      <c r="A36" s="496">
        <v>3145.1</v>
      </c>
      <c r="B36" s="498" t="s">
        <v>905</v>
      </c>
      <c r="C36" s="383" t="s">
        <v>9</v>
      </c>
      <c r="D36" s="494">
        <f>350*0.6</f>
        <v>210</v>
      </c>
      <c r="E36" s="495">
        <v>12050</v>
      </c>
      <c r="F36" s="489">
        <f>D36*E36</f>
        <v>2530500</v>
      </c>
      <c r="G36" s="415"/>
      <c r="H36" s="416"/>
      <c r="I36" s="446"/>
      <c r="J36" s="416"/>
      <c r="K36" s="445"/>
      <c r="L36" s="418"/>
      <c r="M36" s="446"/>
      <c r="N36" s="416"/>
      <c r="O36" s="445"/>
      <c r="P36" s="418"/>
      <c r="Q36" s="446"/>
      <c r="R36" s="416"/>
      <c r="S36" s="445"/>
      <c r="T36" s="416"/>
      <c r="U36" s="446"/>
      <c r="V36" s="416"/>
      <c r="W36" s="445"/>
      <c r="X36" s="416"/>
      <c r="Y36" s="446"/>
      <c r="Z36" s="416"/>
      <c r="AA36" s="446"/>
      <c r="AB36" s="416"/>
      <c r="AC36" s="446"/>
      <c r="AD36" s="416"/>
      <c r="AE36" s="446"/>
      <c r="AF36" s="416"/>
      <c r="AG36" s="446"/>
      <c r="AH36" s="416"/>
      <c r="AI36" s="446"/>
      <c r="AJ36" s="416"/>
      <c r="AK36" s="446"/>
      <c r="AL36" s="416"/>
      <c r="AM36" s="446"/>
      <c r="AN36" s="416"/>
      <c r="AO36" s="447"/>
      <c r="AP36" s="423"/>
    </row>
    <row r="37" spans="1:42" ht="12.5">
      <c r="A37" s="496"/>
      <c r="B37" s="386"/>
      <c r="C37" s="383"/>
      <c r="D37" s="494"/>
      <c r="E37" s="495"/>
      <c r="F37" s="489"/>
      <c r="G37" s="415"/>
      <c r="H37" s="416"/>
      <c r="I37" s="446"/>
      <c r="J37" s="416"/>
      <c r="K37" s="445"/>
      <c r="L37" s="418"/>
      <c r="M37" s="446"/>
      <c r="N37" s="416"/>
      <c r="O37" s="445"/>
      <c r="P37" s="418"/>
      <c r="Q37" s="446"/>
      <c r="R37" s="416"/>
      <c r="S37" s="445"/>
      <c r="T37" s="416"/>
      <c r="U37" s="446"/>
      <c r="V37" s="416"/>
      <c r="W37" s="445"/>
      <c r="X37" s="416"/>
      <c r="Y37" s="446"/>
      <c r="Z37" s="416"/>
      <c r="AA37" s="446"/>
      <c r="AB37" s="416"/>
      <c r="AC37" s="446"/>
      <c r="AD37" s="416"/>
      <c r="AE37" s="446"/>
      <c r="AF37" s="416"/>
      <c r="AG37" s="446"/>
      <c r="AH37" s="416"/>
      <c r="AI37" s="446"/>
      <c r="AJ37" s="416"/>
      <c r="AK37" s="446"/>
      <c r="AL37" s="416"/>
      <c r="AM37" s="446"/>
      <c r="AN37" s="416"/>
      <c r="AO37" s="447"/>
      <c r="AP37" s="423"/>
    </row>
    <row r="38" spans="1:42" ht="12.5">
      <c r="A38" s="496">
        <v>3146.1</v>
      </c>
      <c r="B38" s="385" t="s">
        <v>756</v>
      </c>
      <c r="C38" s="383" t="s">
        <v>9</v>
      </c>
      <c r="D38" s="494">
        <f>350*0.3</f>
        <v>105</v>
      </c>
      <c r="E38" s="495">
        <v>13000</v>
      </c>
      <c r="F38" s="489">
        <f>D38*E38</f>
        <v>1365000</v>
      </c>
      <c r="G38" s="415"/>
      <c r="H38" s="416"/>
      <c r="I38" s="446"/>
      <c r="J38" s="416"/>
      <c r="K38" s="445"/>
      <c r="L38" s="418"/>
      <c r="M38" s="446"/>
      <c r="N38" s="416"/>
      <c r="O38" s="445"/>
      <c r="P38" s="418"/>
      <c r="Q38" s="446"/>
      <c r="R38" s="416"/>
      <c r="S38" s="445"/>
      <c r="T38" s="416"/>
      <c r="U38" s="446"/>
      <c r="V38" s="416"/>
      <c r="W38" s="445"/>
      <c r="X38" s="416"/>
      <c r="Y38" s="446"/>
      <c r="Z38" s="416"/>
      <c r="AA38" s="446"/>
      <c r="AB38" s="416"/>
      <c r="AC38" s="446"/>
      <c r="AD38" s="416"/>
      <c r="AE38" s="446"/>
      <c r="AF38" s="416"/>
      <c r="AG38" s="446"/>
      <c r="AH38" s="416"/>
      <c r="AI38" s="446"/>
      <c r="AJ38" s="416"/>
      <c r="AK38" s="446"/>
      <c r="AL38" s="416"/>
      <c r="AM38" s="446"/>
      <c r="AN38" s="416"/>
      <c r="AO38" s="447"/>
      <c r="AP38" s="423"/>
    </row>
    <row r="39" spans="1:42" ht="12.5">
      <c r="A39" s="496"/>
      <c r="B39" s="386"/>
      <c r="C39" s="383"/>
      <c r="D39" s="494"/>
      <c r="E39" s="495"/>
      <c r="F39" s="488"/>
      <c r="G39" s="415"/>
      <c r="H39" s="416"/>
      <c r="I39" s="446"/>
      <c r="J39" s="416"/>
      <c r="K39" s="445"/>
      <c r="L39" s="418"/>
      <c r="M39" s="446"/>
      <c r="N39" s="416"/>
      <c r="O39" s="445"/>
      <c r="P39" s="418"/>
      <c r="Q39" s="446"/>
      <c r="R39" s="416"/>
      <c r="S39" s="445"/>
      <c r="T39" s="416"/>
      <c r="U39" s="446"/>
      <c r="V39" s="416"/>
      <c r="W39" s="445"/>
      <c r="X39" s="416"/>
      <c r="Y39" s="446"/>
      <c r="Z39" s="416"/>
      <c r="AA39" s="446"/>
      <c r="AB39" s="416"/>
      <c r="AC39" s="446"/>
      <c r="AD39" s="416"/>
      <c r="AE39" s="446"/>
      <c r="AF39" s="416"/>
      <c r="AG39" s="446"/>
      <c r="AH39" s="416"/>
      <c r="AI39" s="446"/>
      <c r="AJ39" s="416"/>
      <c r="AK39" s="446"/>
      <c r="AL39" s="416"/>
      <c r="AM39" s="446"/>
      <c r="AN39" s="416"/>
      <c r="AO39" s="447"/>
      <c r="AP39" s="423"/>
    </row>
    <row r="40" spans="1:42" ht="13">
      <c r="A40" s="499"/>
      <c r="B40" s="387" t="s">
        <v>757</v>
      </c>
      <c r="C40" s="383"/>
      <c r="D40" s="494"/>
      <c r="E40" s="495"/>
      <c r="F40" s="488"/>
      <c r="G40" s="415"/>
      <c r="H40" s="416"/>
      <c r="I40" s="446"/>
      <c r="J40" s="416"/>
      <c r="K40" s="445"/>
      <c r="L40" s="418"/>
      <c r="M40" s="446"/>
      <c r="N40" s="416"/>
      <c r="O40" s="445"/>
      <c r="P40" s="418"/>
      <c r="Q40" s="446"/>
      <c r="R40" s="416"/>
      <c r="S40" s="445"/>
      <c r="T40" s="416">
        <f t="shared" si="0"/>
        <v>0</v>
      </c>
      <c r="U40" s="446"/>
      <c r="V40" s="416"/>
      <c r="W40" s="445"/>
      <c r="X40" s="416">
        <f t="shared" si="1"/>
        <v>0</v>
      </c>
      <c r="Y40" s="446"/>
      <c r="Z40" s="416"/>
      <c r="AA40" s="446">
        <f t="shared" ref="AA40:AB42" si="15">Y40+W40</f>
        <v>0</v>
      </c>
      <c r="AB40" s="416">
        <f t="shared" si="15"/>
        <v>0</v>
      </c>
      <c r="AC40" s="446"/>
      <c r="AD40" s="416">
        <f t="shared" si="3"/>
        <v>0</v>
      </c>
      <c r="AE40" s="446">
        <f t="shared" ref="AE40:AF42" si="16">AC40+AA40</f>
        <v>0</v>
      </c>
      <c r="AF40" s="416">
        <f t="shared" si="16"/>
        <v>0</v>
      </c>
      <c r="AG40" s="446"/>
      <c r="AH40" s="416">
        <f t="shared" si="5"/>
        <v>0</v>
      </c>
      <c r="AI40" s="446">
        <f t="shared" ref="AI40:AJ42" si="17">AG40+AE40</f>
        <v>0</v>
      </c>
      <c r="AJ40" s="416">
        <f t="shared" si="17"/>
        <v>0</v>
      </c>
      <c r="AK40" s="446"/>
      <c r="AL40" s="416">
        <f t="shared" si="7"/>
        <v>0</v>
      </c>
      <c r="AM40" s="446">
        <f t="shared" ref="AM40:AN42" si="18">AK40+AI40</f>
        <v>0</v>
      </c>
      <c r="AN40" s="416">
        <f t="shared" si="18"/>
        <v>0</v>
      </c>
      <c r="AO40" s="447"/>
      <c r="AP40" s="423">
        <f t="shared" si="9"/>
        <v>0</v>
      </c>
    </row>
    <row r="41" spans="1:42" ht="12.5">
      <c r="A41" s="496"/>
      <c r="B41" s="386"/>
      <c r="C41" s="383"/>
      <c r="D41" s="494"/>
      <c r="E41" s="497"/>
      <c r="F41" s="491"/>
      <c r="G41" s="415"/>
      <c r="H41" s="416"/>
      <c r="I41" s="446"/>
      <c r="J41" s="416"/>
      <c r="K41" s="445"/>
      <c r="L41" s="418"/>
      <c r="M41" s="446"/>
      <c r="N41" s="416"/>
      <c r="O41" s="445"/>
      <c r="P41" s="418"/>
      <c r="Q41" s="446"/>
      <c r="R41" s="416"/>
      <c r="S41" s="445"/>
      <c r="T41" s="416">
        <f t="shared" si="0"/>
        <v>0</v>
      </c>
      <c r="U41" s="446"/>
      <c r="V41" s="416"/>
      <c r="W41" s="445"/>
      <c r="X41" s="416">
        <f t="shared" si="1"/>
        <v>0</v>
      </c>
      <c r="Y41" s="446"/>
      <c r="Z41" s="416"/>
      <c r="AA41" s="446">
        <f t="shared" si="15"/>
        <v>0</v>
      </c>
      <c r="AB41" s="416">
        <f t="shared" si="15"/>
        <v>0</v>
      </c>
      <c r="AC41" s="446"/>
      <c r="AD41" s="416">
        <f t="shared" si="3"/>
        <v>0</v>
      </c>
      <c r="AE41" s="446">
        <f t="shared" si="16"/>
        <v>0</v>
      </c>
      <c r="AF41" s="416">
        <f t="shared" si="16"/>
        <v>0</v>
      </c>
      <c r="AG41" s="446"/>
      <c r="AH41" s="416">
        <f t="shared" si="5"/>
        <v>0</v>
      </c>
      <c r="AI41" s="446">
        <f t="shared" si="17"/>
        <v>0</v>
      </c>
      <c r="AJ41" s="416">
        <f t="shared" si="17"/>
        <v>0</v>
      </c>
      <c r="AK41" s="446"/>
      <c r="AL41" s="416">
        <f t="shared" si="7"/>
        <v>0</v>
      </c>
      <c r="AM41" s="446">
        <f t="shared" si="18"/>
        <v>0</v>
      </c>
      <c r="AN41" s="416">
        <f t="shared" si="18"/>
        <v>0</v>
      </c>
      <c r="AO41" s="447"/>
      <c r="AP41" s="423">
        <f t="shared" si="9"/>
        <v>0</v>
      </c>
    </row>
    <row r="42" spans="1:42" ht="26">
      <c r="A42" s="493"/>
      <c r="B42" s="388" t="s">
        <v>758</v>
      </c>
      <c r="C42" s="383"/>
      <c r="D42" s="494"/>
      <c r="E42" s="495"/>
      <c r="F42" s="491"/>
      <c r="G42" s="419"/>
      <c r="H42" s="418"/>
      <c r="I42" s="445"/>
      <c r="J42" s="418"/>
      <c r="K42" s="445"/>
      <c r="L42" s="418"/>
      <c r="M42" s="445"/>
      <c r="N42" s="418"/>
      <c r="O42" s="445"/>
      <c r="P42" s="418"/>
      <c r="Q42" s="445"/>
      <c r="R42" s="418"/>
      <c r="S42" s="445"/>
      <c r="T42" s="416">
        <f t="shared" si="0"/>
        <v>0</v>
      </c>
      <c r="U42" s="445"/>
      <c r="V42" s="418"/>
      <c r="W42" s="445"/>
      <c r="X42" s="416">
        <f t="shared" si="1"/>
        <v>0</v>
      </c>
      <c r="Y42" s="445"/>
      <c r="Z42" s="418"/>
      <c r="AA42" s="446">
        <f t="shared" si="15"/>
        <v>0</v>
      </c>
      <c r="AB42" s="416">
        <f t="shared" si="15"/>
        <v>0</v>
      </c>
      <c r="AC42" s="445"/>
      <c r="AD42" s="416">
        <f t="shared" si="3"/>
        <v>0</v>
      </c>
      <c r="AE42" s="446">
        <f t="shared" si="16"/>
        <v>0</v>
      </c>
      <c r="AF42" s="416">
        <f t="shared" si="16"/>
        <v>0</v>
      </c>
      <c r="AG42" s="445"/>
      <c r="AH42" s="416">
        <f t="shared" si="5"/>
        <v>0</v>
      </c>
      <c r="AI42" s="446">
        <f t="shared" si="17"/>
        <v>0</v>
      </c>
      <c r="AJ42" s="416">
        <f t="shared" si="17"/>
        <v>0</v>
      </c>
      <c r="AK42" s="445"/>
      <c r="AL42" s="416">
        <f t="shared" si="7"/>
        <v>0</v>
      </c>
      <c r="AM42" s="446">
        <f t="shared" si="18"/>
        <v>0</v>
      </c>
      <c r="AN42" s="416">
        <f t="shared" si="18"/>
        <v>0</v>
      </c>
      <c r="AO42" s="447"/>
      <c r="AP42" s="423">
        <f t="shared" si="9"/>
        <v>0</v>
      </c>
    </row>
    <row r="43" spans="1:42" ht="13">
      <c r="A43" s="493"/>
      <c r="B43" s="388"/>
      <c r="C43" s="383"/>
      <c r="D43" s="494"/>
      <c r="E43" s="495"/>
      <c r="F43" s="491"/>
      <c r="G43" s="419"/>
      <c r="H43" s="418"/>
      <c r="I43" s="445"/>
      <c r="J43" s="418"/>
      <c r="K43" s="445"/>
      <c r="L43" s="418"/>
      <c r="M43" s="445"/>
      <c r="N43" s="418"/>
      <c r="O43" s="445"/>
      <c r="P43" s="418"/>
      <c r="Q43" s="445"/>
      <c r="R43" s="418"/>
      <c r="S43" s="445"/>
      <c r="T43" s="416"/>
      <c r="U43" s="445"/>
      <c r="V43" s="418"/>
      <c r="W43" s="445"/>
      <c r="X43" s="416"/>
      <c r="Y43" s="445"/>
      <c r="Z43" s="418"/>
      <c r="AA43" s="446"/>
      <c r="AB43" s="416"/>
      <c r="AC43" s="445"/>
      <c r="AD43" s="416"/>
      <c r="AE43" s="446"/>
      <c r="AF43" s="416"/>
      <c r="AG43" s="445"/>
      <c r="AH43" s="416"/>
      <c r="AI43" s="446"/>
      <c r="AJ43" s="416"/>
      <c r="AK43" s="445"/>
      <c r="AL43" s="416"/>
      <c r="AM43" s="446"/>
      <c r="AN43" s="416"/>
      <c r="AO43" s="447"/>
      <c r="AP43" s="423"/>
    </row>
    <row r="44" spans="1:42" ht="12.5">
      <c r="A44" s="496"/>
      <c r="B44" s="385"/>
      <c r="C44" s="383"/>
      <c r="D44" s="494"/>
      <c r="E44" s="438"/>
      <c r="F44" s="488"/>
      <c r="G44" s="410"/>
      <c r="H44" s="410"/>
      <c r="I44" s="410"/>
      <c r="J44" s="410"/>
      <c r="K44" s="410"/>
      <c r="L44" s="410"/>
      <c r="M44" s="410"/>
      <c r="N44" s="410"/>
      <c r="O44" s="410"/>
      <c r="P44" s="410"/>
      <c r="Q44" s="410"/>
      <c r="R44" s="410"/>
      <c r="S44" s="410"/>
      <c r="T44" s="439"/>
      <c r="U44" s="410"/>
      <c r="V44" s="410"/>
      <c r="W44" s="410"/>
      <c r="X44" s="439"/>
      <c r="Y44" s="410"/>
      <c r="Z44" s="410"/>
      <c r="AA44" s="439"/>
      <c r="AB44" s="439"/>
      <c r="AC44" s="410"/>
      <c r="AD44" s="439"/>
      <c r="AE44" s="439"/>
      <c r="AF44" s="439"/>
      <c r="AG44" s="410"/>
      <c r="AH44" s="439"/>
      <c r="AI44" s="439"/>
      <c r="AJ44" s="439"/>
      <c r="AK44" s="410"/>
      <c r="AL44" s="439"/>
      <c r="AM44" s="439"/>
      <c r="AN44" s="439"/>
      <c r="AO44" s="411"/>
      <c r="AP44" s="440"/>
    </row>
    <row r="45" spans="1:42" s="19" customFormat="1" ht="16.5" customHeight="1" thickBot="1">
      <c r="A45" s="479"/>
      <c r="B45" s="21"/>
      <c r="C45" s="22"/>
      <c r="D45" s="24"/>
      <c r="E45" s="23"/>
      <c r="F45" s="46"/>
      <c r="AP45" s="421"/>
    </row>
    <row r="46" spans="1:42" s="19" customFormat="1" ht="13.5" thickTop="1">
      <c r="A46" s="35"/>
      <c r="B46" s="36"/>
      <c r="C46" s="92"/>
      <c r="D46" s="37"/>
      <c r="E46" s="93"/>
      <c r="F46" s="47"/>
      <c r="AP46" s="421"/>
    </row>
    <row r="47" spans="1:42" s="19" customFormat="1" ht="12.75" customHeight="1">
      <c r="A47" s="1554" t="s">
        <v>901</v>
      </c>
      <c r="B47" s="1555"/>
      <c r="C47" s="1555"/>
      <c r="D47" s="1555"/>
      <c r="E47" s="1556"/>
      <c r="F47" s="409">
        <f>SUM(F5:F45)</f>
        <v>9889340</v>
      </c>
      <c r="I47" s="19">
        <v>400</v>
      </c>
      <c r="J47" s="19">
        <v>21000</v>
      </c>
      <c r="AP47" s="421"/>
    </row>
    <row r="48" spans="1:42" s="19" customFormat="1" ht="15" customHeight="1" thickBot="1">
      <c r="A48" s="38"/>
      <c r="B48" s="39"/>
      <c r="C48" s="94"/>
      <c r="D48" s="40"/>
      <c r="E48" s="95"/>
      <c r="F48" s="48"/>
      <c r="I48" s="19">
        <v>450</v>
      </c>
      <c r="J48" s="19">
        <f>I48*J47/I47</f>
        <v>23625</v>
      </c>
      <c r="K48" s="19">
        <v>11.25</v>
      </c>
      <c r="AP48" s="421"/>
    </row>
    <row r="49" spans="1:42" s="19" customFormat="1" ht="13" thickTop="1">
      <c r="A49" s="137"/>
      <c r="B49" s="43"/>
      <c r="C49" s="137"/>
      <c r="D49" s="401"/>
      <c r="E49" s="402"/>
      <c r="F49" s="403"/>
      <c r="J49" s="19">
        <f>K49*J48/K48</f>
        <v>46725</v>
      </c>
      <c r="K49" s="19">
        <v>22.25</v>
      </c>
      <c r="AP49" s="421"/>
    </row>
    <row r="50" spans="1:42" s="19" customFormat="1" ht="12.75" customHeight="1">
      <c r="A50" s="1548" t="s">
        <v>741</v>
      </c>
      <c r="B50" s="1548"/>
      <c r="C50" s="1548"/>
      <c r="D50" s="1548"/>
      <c r="E50" s="1548"/>
      <c r="F50" s="1548"/>
      <c r="AP50" s="421"/>
    </row>
    <row r="51" spans="1:42" s="19" customFormat="1" ht="13" thickBot="1">
      <c r="A51" s="121"/>
      <c r="B51" s="404"/>
      <c r="C51" s="405"/>
      <c r="D51" s="406"/>
      <c r="E51" s="45"/>
      <c r="F51" s="407"/>
      <c r="AP51" s="421"/>
    </row>
    <row r="52" spans="1:42" s="19" customFormat="1" ht="27" thickTop="1" thickBot="1">
      <c r="A52" s="2" t="s">
        <v>21</v>
      </c>
      <c r="B52" s="53" t="s">
        <v>5</v>
      </c>
      <c r="C52" s="29" t="s">
        <v>6</v>
      </c>
      <c r="D52" s="30" t="s">
        <v>1</v>
      </c>
      <c r="E52" s="31" t="s">
        <v>7</v>
      </c>
      <c r="F52" s="50" t="s">
        <v>8</v>
      </c>
      <c r="AP52" s="421"/>
    </row>
    <row r="53" spans="1:42" s="19" customFormat="1" ht="13.5" thickTop="1">
      <c r="A53" s="471"/>
      <c r="B53" s="20"/>
      <c r="C53" s="32"/>
      <c r="D53" s="33"/>
      <c r="E53" s="34"/>
      <c r="F53" s="49"/>
      <c r="AP53" s="421"/>
    </row>
    <row r="54" spans="1:42" ht="13">
      <c r="A54" s="493"/>
      <c r="B54" s="389" t="s">
        <v>309</v>
      </c>
      <c r="C54" s="383"/>
      <c r="D54" s="494"/>
      <c r="E54" s="495"/>
      <c r="F54" s="491"/>
      <c r="G54" s="419"/>
      <c r="H54" s="418"/>
      <c r="I54" s="445"/>
      <c r="J54" s="418"/>
      <c r="K54" s="445"/>
      <c r="L54" s="418"/>
      <c r="M54" s="445"/>
      <c r="N54" s="418"/>
      <c r="O54" s="445"/>
      <c r="P54" s="418"/>
      <c r="Q54" s="445"/>
      <c r="R54" s="418"/>
      <c r="S54" s="445"/>
      <c r="T54" s="416">
        <f>R54+P54</f>
        <v>0</v>
      </c>
      <c r="U54" s="445"/>
      <c r="V54" s="418"/>
      <c r="W54" s="445"/>
      <c r="X54" s="416">
        <f>V54+T54</f>
        <v>0</v>
      </c>
      <c r="Y54" s="445"/>
      <c r="Z54" s="418"/>
      <c r="AA54" s="446">
        <f>Y54+W54</f>
        <v>0</v>
      </c>
      <c r="AB54" s="416">
        <f>Z54+X54</f>
        <v>0</v>
      </c>
      <c r="AC54" s="445"/>
      <c r="AD54" s="416">
        <f>AC54*E54</f>
        <v>0</v>
      </c>
      <c r="AE54" s="446">
        <f>AC54+AA54</f>
        <v>0</v>
      </c>
      <c r="AF54" s="416">
        <f>AD54+AB54</f>
        <v>0</v>
      </c>
      <c r="AG54" s="445"/>
      <c r="AH54" s="416">
        <f>AG54*E54</f>
        <v>0</v>
      </c>
      <c r="AI54" s="446">
        <f>AG54+AE54</f>
        <v>0</v>
      </c>
      <c r="AJ54" s="416">
        <f>AH54+AF54</f>
        <v>0</v>
      </c>
      <c r="AK54" s="445"/>
      <c r="AL54" s="416">
        <f>AK54*E54</f>
        <v>0</v>
      </c>
      <c r="AM54" s="446">
        <f>AK54+AI54</f>
        <v>0</v>
      </c>
      <c r="AN54" s="416">
        <f>AL54+AJ54</f>
        <v>0</v>
      </c>
      <c r="AO54" s="447"/>
      <c r="AP54" s="423">
        <f>AO54*E54</f>
        <v>0</v>
      </c>
    </row>
    <row r="55" spans="1:42" ht="14.5">
      <c r="A55" s="496" t="s">
        <v>321</v>
      </c>
      <c r="B55" s="385" t="s">
        <v>759</v>
      </c>
      <c r="C55" s="168" t="s">
        <v>10</v>
      </c>
      <c r="D55" s="494">
        <v>1</v>
      </c>
      <c r="E55" s="497">
        <v>54845</v>
      </c>
      <c r="F55" s="489">
        <f>D55*E55</f>
        <v>54845</v>
      </c>
      <c r="G55" s="419"/>
      <c r="H55" s="418"/>
      <c r="I55" s="445">
        <v>34</v>
      </c>
      <c r="J55" s="418">
        <f>E55*I55</f>
        <v>1864730</v>
      </c>
      <c r="K55" s="445">
        <f>I55+G55</f>
        <v>34</v>
      </c>
      <c r="L55" s="418">
        <f>J55+H55</f>
        <v>1864730</v>
      </c>
      <c r="M55" s="445">
        <v>70</v>
      </c>
      <c r="N55" s="418">
        <f>I55*M55</f>
        <v>2380</v>
      </c>
      <c r="O55" s="445">
        <f>M55+K55</f>
        <v>104</v>
      </c>
      <c r="P55" s="418">
        <f>N55+L55</f>
        <v>1867110</v>
      </c>
      <c r="Q55" s="445">
        <v>22</v>
      </c>
      <c r="R55" s="418">
        <f>Q55*E55</f>
        <v>1206590</v>
      </c>
      <c r="S55" s="445">
        <f>Q55+O55</f>
        <v>126</v>
      </c>
      <c r="T55" s="416">
        <f>R55+P55</f>
        <v>3073700</v>
      </c>
      <c r="U55" s="445"/>
      <c r="V55" s="418">
        <f>U55*I55</f>
        <v>0</v>
      </c>
      <c r="W55" s="445">
        <f>U55+S55</f>
        <v>126</v>
      </c>
      <c r="X55" s="416">
        <f>V55+T55</f>
        <v>3073700</v>
      </c>
      <c r="Y55" s="445"/>
      <c r="Z55" s="418">
        <f>Y55*M55</f>
        <v>0</v>
      </c>
      <c r="AA55" s="446">
        <f>Y55+W55</f>
        <v>126</v>
      </c>
      <c r="AB55" s="416">
        <f>Z55+X55</f>
        <v>3073700</v>
      </c>
      <c r="AC55" s="445"/>
      <c r="AD55" s="416">
        <f>AC55*E55</f>
        <v>0</v>
      </c>
      <c r="AE55" s="446">
        <f>AC55+AA55</f>
        <v>126</v>
      </c>
      <c r="AF55" s="416">
        <f>AD55+AB55</f>
        <v>3073700</v>
      </c>
      <c r="AG55" s="445"/>
      <c r="AH55" s="416">
        <f>AG55*E55</f>
        <v>0</v>
      </c>
      <c r="AI55" s="446">
        <f>AG55+AE55</f>
        <v>126</v>
      </c>
      <c r="AJ55" s="416">
        <f>AH55+AF55</f>
        <v>3073700</v>
      </c>
      <c r="AK55" s="445"/>
      <c r="AL55" s="416">
        <f>AK55*E55</f>
        <v>0</v>
      </c>
      <c r="AM55" s="446">
        <f>AK55+AI55</f>
        <v>126</v>
      </c>
      <c r="AN55" s="416">
        <f>AL55+AJ55</f>
        <v>3073700</v>
      </c>
      <c r="AO55" s="447"/>
      <c r="AP55" s="423">
        <f>AO55*E55</f>
        <v>0</v>
      </c>
    </row>
    <row r="56" spans="1:42" ht="12.5">
      <c r="A56" s="496"/>
      <c r="B56" s="385"/>
      <c r="C56" s="168"/>
      <c r="D56" s="494"/>
      <c r="E56" s="497"/>
      <c r="F56" s="489"/>
      <c r="G56" s="419"/>
      <c r="H56" s="418"/>
      <c r="I56" s="445"/>
      <c r="J56" s="418"/>
      <c r="K56" s="445"/>
      <c r="L56" s="418"/>
      <c r="M56" s="445"/>
      <c r="N56" s="418"/>
      <c r="O56" s="445"/>
      <c r="P56" s="418"/>
      <c r="Q56" s="445"/>
      <c r="R56" s="418"/>
      <c r="S56" s="445"/>
      <c r="T56" s="416"/>
      <c r="U56" s="445"/>
      <c r="V56" s="418"/>
      <c r="W56" s="445"/>
      <c r="X56" s="416"/>
      <c r="Y56" s="445"/>
      <c r="Z56" s="418"/>
      <c r="AA56" s="446"/>
      <c r="AB56" s="416"/>
      <c r="AC56" s="445"/>
      <c r="AD56" s="416"/>
      <c r="AE56" s="446"/>
      <c r="AF56" s="416"/>
      <c r="AG56" s="445"/>
      <c r="AH56" s="416"/>
      <c r="AI56" s="446"/>
      <c r="AJ56" s="416"/>
      <c r="AK56" s="445"/>
      <c r="AL56" s="416"/>
      <c r="AM56" s="446"/>
      <c r="AN56" s="416"/>
      <c r="AO56" s="447"/>
      <c r="AP56" s="423"/>
    </row>
    <row r="57" spans="1:42" ht="14.5">
      <c r="A57" s="496" t="s">
        <v>323</v>
      </c>
      <c r="B57" s="385" t="s">
        <v>907</v>
      </c>
      <c r="C57" s="383" t="s">
        <v>10</v>
      </c>
      <c r="D57" s="494">
        <v>2</v>
      </c>
      <c r="E57" s="495">
        <v>23625</v>
      </c>
      <c r="F57" s="489">
        <f>D57*E57</f>
        <v>47250</v>
      </c>
      <c r="G57" s="419"/>
      <c r="H57" s="418"/>
      <c r="I57" s="445"/>
      <c r="J57" s="418"/>
      <c r="K57" s="445"/>
      <c r="L57" s="418"/>
      <c r="M57" s="445"/>
      <c r="N57" s="418"/>
      <c r="O57" s="445"/>
      <c r="P57" s="418"/>
      <c r="Q57" s="445"/>
      <c r="R57" s="418"/>
      <c r="S57" s="445"/>
      <c r="T57" s="416">
        <f>R57+P57</f>
        <v>0</v>
      </c>
      <c r="U57" s="445"/>
      <c r="V57" s="418"/>
      <c r="W57" s="445"/>
      <c r="X57" s="416">
        <f>V57+T57</f>
        <v>0</v>
      </c>
      <c r="Y57" s="445"/>
      <c r="Z57" s="418"/>
      <c r="AA57" s="446">
        <f>Y57+W57</f>
        <v>0</v>
      </c>
      <c r="AB57" s="416">
        <f>Z57+X57</f>
        <v>0</v>
      </c>
      <c r="AC57" s="445"/>
      <c r="AD57" s="416">
        <f>AC57*E57</f>
        <v>0</v>
      </c>
      <c r="AE57" s="446">
        <f>AC57+AA57</f>
        <v>0</v>
      </c>
      <c r="AF57" s="416">
        <f>AD57+AB57</f>
        <v>0</v>
      </c>
      <c r="AG57" s="445"/>
      <c r="AH57" s="416">
        <f>AG57*E57</f>
        <v>0</v>
      </c>
      <c r="AI57" s="446">
        <f>AG57+AE57</f>
        <v>0</v>
      </c>
      <c r="AJ57" s="416">
        <f>AH57+AF57</f>
        <v>0</v>
      </c>
      <c r="AK57" s="445"/>
      <c r="AL57" s="416">
        <f>AK57*E57</f>
        <v>0</v>
      </c>
      <c r="AM57" s="446">
        <f>AK57+AI57</f>
        <v>0</v>
      </c>
      <c r="AN57" s="416">
        <f>AL57+AJ57</f>
        <v>0</v>
      </c>
      <c r="AO57" s="447"/>
      <c r="AP57" s="423">
        <f>AO57*E57</f>
        <v>0</v>
      </c>
    </row>
    <row r="58" spans="1:42" ht="12.5">
      <c r="A58" s="496"/>
      <c r="B58" s="385"/>
      <c r="C58" s="383"/>
      <c r="D58" s="494"/>
      <c r="E58" s="495"/>
      <c r="F58" s="489"/>
      <c r="G58" s="419"/>
      <c r="H58" s="418"/>
      <c r="I58" s="445"/>
      <c r="J58" s="418"/>
      <c r="K58" s="445"/>
      <c r="L58" s="418"/>
      <c r="M58" s="445"/>
      <c r="N58" s="418"/>
      <c r="O58" s="445"/>
      <c r="P58" s="418"/>
      <c r="Q58" s="445"/>
      <c r="R58" s="418"/>
      <c r="S58" s="445"/>
      <c r="T58" s="416"/>
      <c r="U58" s="445"/>
      <c r="V58" s="418"/>
      <c r="W58" s="445"/>
      <c r="X58" s="416"/>
      <c r="Y58" s="445"/>
      <c r="Z58" s="418"/>
      <c r="AA58" s="446"/>
      <c r="AB58" s="416"/>
      <c r="AC58" s="445"/>
      <c r="AD58" s="416"/>
      <c r="AE58" s="446"/>
      <c r="AF58" s="416"/>
      <c r="AG58" s="445"/>
      <c r="AH58" s="416"/>
      <c r="AI58" s="446"/>
      <c r="AJ58" s="416"/>
      <c r="AK58" s="445"/>
      <c r="AL58" s="416"/>
      <c r="AM58" s="446"/>
      <c r="AN58" s="416"/>
      <c r="AO58" s="447"/>
      <c r="AP58" s="423"/>
    </row>
    <row r="59" spans="1:42" ht="14.5">
      <c r="A59" s="496" t="s">
        <v>326</v>
      </c>
      <c r="B59" s="390" t="s">
        <v>760</v>
      </c>
      <c r="C59" s="168" t="s">
        <v>10</v>
      </c>
      <c r="D59" s="494">
        <v>3</v>
      </c>
      <c r="E59" s="497">
        <v>60350</v>
      </c>
      <c r="F59" s="489">
        <f>D59*E59</f>
        <v>181050</v>
      </c>
      <c r="G59" s="419"/>
      <c r="H59" s="418"/>
      <c r="I59" s="445">
        <v>6</v>
      </c>
      <c r="J59" s="418">
        <f>E59*I59</f>
        <v>362100</v>
      </c>
      <c r="K59" s="445">
        <f>I59+G59</f>
        <v>6</v>
      </c>
      <c r="L59" s="418">
        <f>J59+H59</f>
        <v>362100</v>
      </c>
      <c r="M59" s="445">
        <v>14</v>
      </c>
      <c r="N59" s="418">
        <f>I59*M59</f>
        <v>84</v>
      </c>
      <c r="O59" s="445">
        <f>M59+K59</f>
        <v>20</v>
      </c>
      <c r="P59" s="418">
        <f>N59+L59</f>
        <v>362184</v>
      </c>
      <c r="Q59" s="445">
        <v>14</v>
      </c>
      <c r="R59" s="418">
        <f>Q59*E59</f>
        <v>844900</v>
      </c>
      <c r="S59" s="445">
        <f>Q59+O59</f>
        <v>34</v>
      </c>
      <c r="T59" s="416">
        <f>R59+P59</f>
        <v>1207084</v>
      </c>
      <c r="U59" s="445"/>
      <c r="V59" s="418">
        <f>U59*I59</f>
        <v>0</v>
      </c>
      <c r="W59" s="445">
        <f>U59+S59</f>
        <v>34</v>
      </c>
      <c r="X59" s="416">
        <f>V59+T59</f>
        <v>1207084</v>
      </c>
      <c r="Y59" s="445"/>
      <c r="Z59" s="418">
        <f>Y59*M59</f>
        <v>0</v>
      </c>
      <c r="AA59" s="446">
        <f>Y59+W59</f>
        <v>34</v>
      </c>
      <c r="AB59" s="416">
        <f>Z59+X59</f>
        <v>1207084</v>
      </c>
      <c r="AC59" s="445"/>
      <c r="AD59" s="416">
        <f>AC59*E59</f>
        <v>0</v>
      </c>
      <c r="AE59" s="446">
        <f>AC59+AA59</f>
        <v>34</v>
      </c>
      <c r="AF59" s="416">
        <f>AD59+AB59</f>
        <v>1207084</v>
      </c>
      <c r="AG59" s="445"/>
      <c r="AH59" s="416">
        <f>AG59*E59</f>
        <v>0</v>
      </c>
      <c r="AI59" s="446">
        <f>AG59+AE59</f>
        <v>34</v>
      </c>
      <c r="AJ59" s="416">
        <f>AH59+AF59</f>
        <v>1207084</v>
      </c>
      <c r="AK59" s="445"/>
      <c r="AL59" s="416">
        <f>AK59*E59</f>
        <v>0</v>
      </c>
      <c r="AM59" s="446">
        <f>AK59+AI59</f>
        <v>34</v>
      </c>
      <c r="AN59" s="416">
        <f>AL59+AJ59</f>
        <v>1207084</v>
      </c>
      <c r="AO59" s="447"/>
      <c r="AP59" s="423">
        <f>AO59*E59</f>
        <v>0</v>
      </c>
    </row>
    <row r="60" spans="1:42" ht="12.5">
      <c r="A60" s="496"/>
      <c r="B60" s="390"/>
      <c r="C60" s="168"/>
      <c r="D60" s="494"/>
      <c r="E60" s="497"/>
      <c r="F60" s="489">
        <f>D60*E60</f>
        <v>0</v>
      </c>
      <c r="G60" s="419"/>
      <c r="H60" s="418"/>
      <c r="I60" s="445"/>
      <c r="J60" s="418"/>
      <c r="K60" s="445"/>
      <c r="L60" s="418"/>
      <c r="M60" s="445"/>
      <c r="N60" s="418"/>
      <c r="O60" s="445"/>
      <c r="P60" s="418"/>
      <c r="Q60" s="445"/>
      <c r="R60" s="418"/>
      <c r="S60" s="445"/>
      <c r="T60" s="416"/>
      <c r="U60" s="445"/>
      <c r="V60" s="418"/>
      <c r="W60" s="445"/>
      <c r="X60" s="416"/>
      <c r="Y60" s="445"/>
      <c r="Z60" s="418"/>
      <c r="AA60" s="446"/>
      <c r="AB60" s="416"/>
      <c r="AC60" s="445"/>
      <c r="AD60" s="416"/>
      <c r="AE60" s="446"/>
      <c r="AF60" s="416"/>
      <c r="AG60" s="445"/>
      <c r="AH60" s="416"/>
      <c r="AI60" s="446"/>
      <c r="AJ60" s="416"/>
      <c r="AK60" s="445"/>
      <c r="AL60" s="416"/>
      <c r="AM60" s="446"/>
      <c r="AN60" s="416"/>
      <c r="AO60" s="447"/>
      <c r="AP60" s="423"/>
    </row>
    <row r="61" spans="1:42" ht="14.5">
      <c r="A61" s="496" t="s">
        <v>609</v>
      </c>
      <c r="B61" s="390" t="s">
        <v>908</v>
      </c>
      <c r="C61" s="168" t="s">
        <v>10</v>
      </c>
      <c r="D61" s="494">
        <v>3</v>
      </c>
      <c r="E61" s="497">
        <v>26625</v>
      </c>
      <c r="F61" s="489">
        <f>D61*E61</f>
        <v>79875</v>
      </c>
      <c r="G61" s="419"/>
      <c r="H61" s="418"/>
      <c r="I61" s="445"/>
      <c r="J61" s="418"/>
      <c r="K61" s="445"/>
      <c r="L61" s="418"/>
      <c r="M61" s="445"/>
      <c r="N61" s="418"/>
      <c r="O61" s="445"/>
      <c r="P61" s="418"/>
      <c r="Q61" s="445"/>
      <c r="R61" s="418"/>
      <c r="S61" s="445"/>
      <c r="T61" s="416"/>
      <c r="U61" s="445"/>
      <c r="V61" s="418"/>
      <c r="W61" s="445"/>
      <c r="X61" s="416"/>
      <c r="Y61" s="445"/>
      <c r="Z61" s="418"/>
      <c r="AA61" s="446"/>
      <c r="AB61" s="416"/>
      <c r="AC61" s="445"/>
      <c r="AD61" s="416"/>
      <c r="AE61" s="446"/>
      <c r="AF61" s="416"/>
      <c r="AG61" s="445"/>
      <c r="AH61" s="416"/>
      <c r="AI61" s="446"/>
      <c r="AJ61" s="416"/>
      <c r="AK61" s="445"/>
      <c r="AL61" s="416"/>
      <c r="AM61" s="446"/>
      <c r="AN61" s="416"/>
      <c r="AO61" s="447"/>
      <c r="AP61" s="423"/>
    </row>
    <row r="62" spans="1:42" ht="12.5">
      <c r="A62" s="496"/>
      <c r="B62" s="386"/>
      <c r="C62" s="383"/>
      <c r="D62" s="494"/>
      <c r="E62" s="495"/>
      <c r="F62" s="491"/>
      <c r="G62" s="419"/>
      <c r="H62" s="418"/>
      <c r="I62" s="445"/>
      <c r="J62" s="418"/>
      <c r="K62" s="445"/>
      <c r="L62" s="418"/>
      <c r="M62" s="445"/>
      <c r="N62" s="418"/>
      <c r="O62" s="445"/>
      <c r="P62" s="418"/>
      <c r="Q62" s="445"/>
      <c r="R62" s="418"/>
      <c r="S62" s="445"/>
      <c r="T62" s="416">
        <f>R62+P62</f>
        <v>0</v>
      </c>
      <c r="U62" s="445"/>
      <c r="V62" s="418"/>
      <c r="W62" s="445"/>
      <c r="X62" s="416">
        <f>V62+T62</f>
        <v>0</v>
      </c>
      <c r="Y62" s="445"/>
      <c r="Z62" s="418"/>
      <c r="AA62" s="446">
        <f t="shared" ref="AA62:AB64" si="19">Y62+W62</f>
        <v>0</v>
      </c>
      <c r="AB62" s="416">
        <f t="shared" si="19"/>
        <v>0</v>
      </c>
      <c r="AC62" s="445"/>
      <c r="AD62" s="416">
        <f>AC62*E62</f>
        <v>0</v>
      </c>
      <c r="AE62" s="446">
        <f t="shared" ref="AE62:AF64" si="20">AC62+AA62</f>
        <v>0</v>
      </c>
      <c r="AF62" s="416">
        <f t="shared" si="20"/>
        <v>0</v>
      </c>
      <c r="AG62" s="445"/>
      <c r="AH62" s="416">
        <f>AG62*E62</f>
        <v>0</v>
      </c>
      <c r="AI62" s="446">
        <f t="shared" ref="AI62:AJ64" si="21">AG62+AE62</f>
        <v>0</v>
      </c>
      <c r="AJ62" s="416">
        <f t="shared" si="21"/>
        <v>0</v>
      </c>
      <c r="AK62" s="445"/>
      <c r="AL62" s="416">
        <f>AK62*E62</f>
        <v>0</v>
      </c>
      <c r="AM62" s="446">
        <f t="shared" ref="AM62:AN64" si="22">AK62+AI62</f>
        <v>0</v>
      </c>
      <c r="AN62" s="416">
        <f t="shared" si="22"/>
        <v>0</v>
      </c>
      <c r="AO62" s="447"/>
      <c r="AP62" s="423">
        <f>AO62*E62</f>
        <v>0</v>
      </c>
    </row>
    <row r="63" spans="1:42" ht="14.5">
      <c r="A63" s="496" t="s">
        <v>326</v>
      </c>
      <c r="B63" s="28" t="s">
        <v>761</v>
      </c>
      <c r="C63" s="186" t="s">
        <v>10</v>
      </c>
      <c r="D63" s="472">
        <v>3</v>
      </c>
      <c r="E63" s="473">
        <v>73000</v>
      </c>
      <c r="F63" s="489">
        <f t="shared" ref="F63:F69" si="23">D63*E63</f>
        <v>219000</v>
      </c>
      <c r="G63" s="419"/>
      <c r="H63" s="418"/>
      <c r="I63" s="445"/>
      <c r="J63" s="418"/>
      <c r="K63" s="445"/>
      <c r="L63" s="418"/>
      <c r="M63" s="445"/>
      <c r="N63" s="418"/>
      <c r="O63" s="445"/>
      <c r="P63" s="418"/>
      <c r="Q63" s="445"/>
      <c r="R63" s="418"/>
      <c r="S63" s="445"/>
      <c r="T63" s="416">
        <f t="shared" si="0"/>
        <v>0</v>
      </c>
      <c r="U63" s="445"/>
      <c r="V63" s="418"/>
      <c r="W63" s="445"/>
      <c r="X63" s="416">
        <f t="shared" si="1"/>
        <v>0</v>
      </c>
      <c r="Y63" s="445">
        <v>25</v>
      </c>
      <c r="Z63" s="418">
        <f>Y63*E63</f>
        <v>1825000</v>
      </c>
      <c r="AA63" s="446">
        <f t="shared" si="19"/>
        <v>25</v>
      </c>
      <c r="AB63" s="416">
        <f t="shared" si="19"/>
        <v>1825000</v>
      </c>
      <c r="AC63" s="445">
        <v>35</v>
      </c>
      <c r="AD63" s="416">
        <f t="shared" si="3"/>
        <v>2555000</v>
      </c>
      <c r="AE63" s="446">
        <f t="shared" si="20"/>
        <v>60</v>
      </c>
      <c r="AF63" s="416">
        <f t="shared" si="20"/>
        <v>4380000</v>
      </c>
      <c r="AG63" s="445">
        <v>18</v>
      </c>
      <c r="AH63" s="416">
        <f t="shared" si="5"/>
        <v>1314000</v>
      </c>
      <c r="AI63" s="446">
        <f t="shared" si="21"/>
        <v>78</v>
      </c>
      <c r="AJ63" s="416">
        <f t="shared" si="21"/>
        <v>5694000</v>
      </c>
      <c r="AK63" s="445">
        <v>5</v>
      </c>
      <c r="AL63" s="416">
        <f t="shared" si="7"/>
        <v>365000</v>
      </c>
      <c r="AM63" s="446">
        <f t="shared" si="22"/>
        <v>83</v>
      </c>
      <c r="AN63" s="416">
        <f t="shared" si="22"/>
        <v>6059000</v>
      </c>
      <c r="AO63" s="447">
        <v>4</v>
      </c>
      <c r="AP63" s="423">
        <f t="shared" si="9"/>
        <v>292000</v>
      </c>
    </row>
    <row r="64" spans="1:42" ht="12.5">
      <c r="A64" s="496"/>
      <c r="B64" s="378"/>
      <c r="C64" s="374"/>
      <c r="D64" s="472"/>
      <c r="E64" s="487"/>
      <c r="F64" s="489">
        <f t="shared" si="23"/>
        <v>0</v>
      </c>
      <c r="G64" s="419"/>
      <c r="H64" s="418"/>
      <c r="I64" s="445"/>
      <c r="J64" s="418"/>
      <c r="K64" s="445"/>
      <c r="L64" s="418"/>
      <c r="M64" s="445"/>
      <c r="N64" s="418"/>
      <c r="O64" s="445"/>
      <c r="P64" s="418"/>
      <c r="Q64" s="445"/>
      <c r="R64" s="418"/>
      <c r="S64" s="445"/>
      <c r="T64" s="416">
        <f t="shared" si="0"/>
        <v>0</v>
      </c>
      <c r="U64" s="445"/>
      <c r="V64" s="418"/>
      <c r="W64" s="445"/>
      <c r="X64" s="416">
        <f t="shared" si="1"/>
        <v>0</v>
      </c>
      <c r="Y64" s="445"/>
      <c r="Z64" s="418"/>
      <c r="AA64" s="446">
        <f t="shared" si="19"/>
        <v>0</v>
      </c>
      <c r="AB64" s="416">
        <f t="shared" si="19"/>
        <v>0</v>
      </c>
      <c r="AC64" s="445"/>
      <c r="AD64" s="416">
        <f t="shared" si="3"/>
        <v>0</v>
      </c>
      <c r="AE64" s="446">
        <f t="shared" si="20"/>
        <v>0</v>
      </c>
      <c r="AF64" s="416">
        <f t="shared" si="20"/>
        <v>0</v>
      </c>
      <c r="AG64" s="445"/>
      <c r="AH64" s="416">
        <f t="shared" si="5"/>
        <v>0</v>
      </c>
      <c r="AI64" s="446">
        <f t="shared" si="21"/>
        <v>0</v>
      </c>
      <c r="AJ64" s="416">
        <f t="shared" si="21"/>
        <v>0</v>
      </c>
      <c r="AK64" s="445"/>
      <c r="AL64" s="416">
        <f t="shared" si="7"/>
        <v>0</v>
      </c>
      <c r="AM64" s="446">
        <f t="shared" si="22"/>
        <v>0</v>
      </c>
      <c r="AN64" s="416">
        <f t="shared" si="22"/>
        <v>0</v>
      </c>
      <c r="AO64" s="447"/>
      <c r="AP64" s="423">
        <f t="shared" si="9"/>
        <v>0</v>
      </c>
    </row>
    <row r="65" spans="1:42" ht="14.5">
      <c r="A65" s="496"/>
      <c r="B65" s="28" t="s">
        <v>909</v>
      </c>
      <c r="C65" s="374" t="s">
        <v>10</v>
      </c>
      <c r="D65" s="472">
        <v>3</v>
      </c>
      <c r="E65" s="487">
        <v>30000</v>
      </c>
      <c r="F65" s="489">
        <f t="shared" si="23"/>
        <v>90000</v>
      </c>
      <c r="G65" s="419"/>
      <c r="H65" s="418"/>
      <c r="I65" s="445"/>
      <c r="J65" s="418"/>
      <c r="K65" s="445"/>
      <c r="L65" s="418"/>
      <c r="M65" s="445"/>
      <c r="N65" s="418"/>
      <c r="O65" s="445"/>
      <c r="P65" s="418"/>
      <c r="Q65" s="445"/>
      <c r="R65" s="418"/>
      <c r="S65" s="445"/>
      <c r="T65" s="416"/>
      <c r="U65" s="445"/>
      <c r="V65" s="418"/>
      <c r="W65" s="445"/>
      <c r="X65" s="416"/>
      <c r="Y65" s="445"/>
      <c r="Z65" s="418"/>
      <c r="AA65" s="446"/>
      <c r="AB65" s="416"/>
      <c r="AC65" s="445"/>
      <c r="AD65" s="416"/>
      <c r="AE65" s="446"/>
      <c r="AF65" s="416"/>
      <c r="AG65" s="445"/>
      <c r="AH65" s="416"/>
      <c r="AI65" s="446"/>
      <c r="AJ65" s="416"/>
      <c r="AK65" s="445"/>
      <c r="AL65" s="416"/>
      <c r="AM65" s="446"/>
      <c r="AN65" s="416"/>
      <c r="AO65" s="447"/>
      <c r="AP65" s="423"/>
    </row>
    <row r="66" spans="1:42" ht="12.5">
      <c r="A66" s="496"/>
      <c r="B66" s="28"/>
      <c r="C66" s="374"/>
      <c r="D66" s="472"/>
      <c r="E66" s="487"/>
      <c r="F66" s="489">
        <f t="shared" si="23"/>
        <v>0</v>
      </c>
      <c r="G66" s="419"/>
      <c r="H66" s="418"/>
      <c r="I66" s="445"/>
      <c r="J66" s="418"/>
      <c r="K66" s="445"/>
      <c r="L66" s="418"/>
      <c r="M66" s="445"/>
      <c r="N66" s="418"/>
      <c r="O66" s="445"/>
      <c r="P66" s="418"/>
      <c r="Q66" s="445"/>
      <c r="R66" s="418"/>
      <c r="S66" s="445"/>
      <c r="T66" s="416"/>
      <c r="U66" s="445"/>
      <c r="V66" s="418"/>
      <c r="W66" s="445"/>
      <c r="X66" s="416"/>
      <c r="Y66" s="445"/>
      <c r="Z66" s="418"/>
      <c r="AA66" s="446"/>
      <c r="AB66" s="416"/>
      <c r="AC66" s="445"/>
      <c r="AD66" s="416"/>
      <c r="AE66" s="446"/>
      <c r="AF66" s="416"/>
      <c r="AG66" s="445"/>
      <c r="AH66" s="416"/>
      <c r="AI66" s="446"/>
      <c r="AJ66" s="416"/>
      <c r="AK66" s="445"/>
      <c r="AL66" s="416"/>
      <c r="AM66" s="446"/>
      <c r="AN66" s="416"/>
      <c r="AO66" s="447"/>
      <c r="AP66" s="423"/>
    </row>
    <row r="67" spans="1:42" ht="14.5">
      <c r="A67" s="490" t="s">
        <v>609</v>
      </c>
      <c r="B67" s="28" t="s">
        <v>762</v>
      </c>
      <c r="C67" s="186" t="s">
        <v>10</v>
      </c>
      <c r="D67" s="472">
        <v>1</v>
      </c>
      <c r="E67" s="473">
        <v>80300</v>
      </c>
      <c r="F67" s="489">
        <f t="shared" si="23"/>
        <v>80300</v>
      </c>
      <c r="G67" s="419"/>
      <c r="H67" s="418"/>
      <c r="I67" s="445"/>
      <c r="J67" s="418"/>
      <c r="K67" s="445"/>
      <c r="L67" s="418"/>
      <c r="M67" s="445"/>
      <c r="N67" s="418"/>
      <c r="O67" s="445"/>
      <c r="P67" s="418"/>
      <c r="Q67" s="445">
        <v>3</v>
      </c>
      <c r="R67" s="418">
        <f>Q67*E67</f>
        <v>240900</v>
      </c>
      <c r="S67" s="445">
        <f>Q67+O67</f>
        <v>3</v>
      </c>
      <c r="T67" s="416">
        <f t="shared" si="0"/>
        <v>240900</v>
      </c>
      <c r="U67" s="445">
        <v>14</v>
      </c>
      <c r="V67" s="418">
        <f>U67*E67</f>
        <v>1124200</v>
      </c>
      <c r="W67" s="445">
        <f>U67+S67</f>
        <v>17</v>
      </c>
      <c r="X67" s="416">
        <f t="shared" si="1"/>
        <v>1365100</v>
      </c>
      <c r="Y67" s="445">
        <v>8</v>
      </c>
      <c r="Z67" s="418">
        <f>Y67*E67</f>
        <v>642400</v>
      </c>
      <c r="AA67" s="446">
        <f>Y67+W67</f>
        <v>25</v>
      </c>
      <c r="AB67" s="416">
        <f>Z67+X67</f>
        <v>2007500</v>
      </c>
      <c r="AC67" s="445">
        <v>5</v>
      </c>
      <c r="AD67" s="416">
        <f t="shared" si="3"/>
        <v>401500</v>
      </c>
      <c r="AE67" s="446">
        <f>AC67+AA67</f>
        <v>30</v>
      </c>
      <c r="AF67" s="416">
        <f>AD67+AB67</f>
        <v>2409000</v>
      </c>
      <c r="AG67" s="445"/>
      <c r="AH67" s="416">
        <f t="shared" si="5"/>
        <v>0</v>
      </c>
      <c r="AI67" s="446">
        <f>AG67+AE67</f>
        <v>30</v>
      </c>
      <c r="AJ67" s="416">
        <f>AH67+AF67</f>
        <v>2409000</v>
      </c>
      <c r="AK67" s="445"/>
      <c r="AL67" s="416">
        <f t="shared" si="7"/>
        <v>0</v>
      </c>
      <c r="AM67" s="446">
        <f>AK67+AI67</f>
        <v>30</v>
      </c>
      <c r="AN67" s="416">
        <f>AL67+AJ67</f>
        <v>2409000</v>
      </c>
      <c r="AO67" s="447">
        <v>2</v>
      </c>
      <c r="AP67" s="423">
        <f t="shared" si="9"/>
        <v>160600</v>
      </c>
    </row>
    <row r="68" spans="1:42" ht="12.5">
      <c r="A68" s="490"/>
      <c r="B68" s="28"/>
      <c r="C68" s="186"/>
      <c r="D68" s="472"/>
      <c r="E68" s="473"/>
      <c r="F68" s="489">
        <f t="shared" si="23"/>
        <v>0</v>
      </c>
      <c r="G68" s="419"/>
      <c r="H68" s="418"/>
      <c r="I68" s="445"/>
      <c r="J68" s="418"/>
      <c r="K68" s="445"/>
      <c r="L68" s="418"/>
      <c r="M68" s="445"/>
      <c r="N68" s="418"/>
      <c r="O68" s="445"/>
      <c r="P68" s="418"/>
      <c r="Q68" s="445"/>
      <c r="R68" s="418"/>
      <c r="S68" s="445"/>
      <c r="T68" s="416"/>
      <c r="U68" s="445"/>
      <c r="V68" s="418"/>
      <c r="W68" s="445"/>
      <c r="X68" s="416"/>
      <c r="Y68" s="445"/>
      <c r="Z68" s="418"/>
      <c r="AA68" s="446"/>
      <c r="AB68" s="416"/>
      <c r="AC68" s="445"/>
      <c r="AD68" s="416"/>
      <c r="AE68" s="446"/>
      <c r="AF68" s="416"/>
      <c r="AG68" s="445"/>
      <c r="AH68" s="416"/>
      <c r="AI68" s="446"/>
      <c r="AJ68" s="416"/>
      <c r="AK68" s="445"/>
      <c r="AL68" s="416"/>
      <c r="AM68" s="446"/>
      <c r="AN68" s="416"/>
      <c r="AO68" s="447"/>
      <c r="AP68" s="423"/>
    </row>
    <row r="69" spans="1:42" ht="14.5">
      <c r="A69" s="490" t="s">
        <v>912</v>
      </c>
      <c r="B69" s="28" t="s">
        <v>911</v>
      </c>
      <c r="C69" s="186" t="s">
        <v>10</v>
      </c>
      <c r="D69" s="472">
        <v>1</v>
      </c>
      <c r="E69" s="473">
        <v>40000</v>
      </c>
      <c r="F69" s="489">
        <f t="shared" si="23"/>
        <v>40000</v>
      </c>
      <c r="G69" s="419"/>
      <c r="H69" s="418"/>
      <c r="I69" s="445"/>
      <c r="J69" s="418"/>
      <c r="K69" s="445"/>
      <c r="L69" s="418"/>
      <c r="M69" s="445"/>
      <c r="N69" s="418"/>
      <c r="O69" s="445"/>
      <c r="P69" s="418"/>
      <c r="Q69" s="445"/>
      <c r="R69" s="418"/>
      <c r="S69" s="445"/>
      <c r="T69" s="416"/>
      <c r="U69" s="445"/>
      <c r="V69" s="418"/>
      <c r="W69" s="445"/>
      <c r="X69" s="416"/>
      <c r="Y69" s="445"/>
      <c r="Z69" s="418"/>
      <c r="AA69" s="446"/>
      <c r="AB69" s="416"/>
      <c r="AC69" s="445"/>
      <c r="AD69" s="416"/>
      <c r="AE69" s="446"/>
      <c r="AF69" s="416"/>
      <c r="AG69" s="445"/>
      <c r="AH69" s="416"/>
      <c r="AI69" s="446"/>
      <c r="AJ69" s="416"/>
      <c r="AK69" s="445"/>
      <c r="AL69" s="416"/>
      <c r="AM69" s="446"/>
      <c r="AN69" s="416"/>
      <c r="AO69" s="447"/>
      <c r="AP69" s="423"/>
    </row>
    <row r="70" spans="1:42" ht="12.5">
      <c r="A70" s="490"/>
      <c r="B70" s="28"/>
      <c r="C70" s="186"/>
      <c r="D70" s="472"/>
      <c r="E70" s="473"/>
      <c r="F70" s="489"/>
      <c r="G70" s="419"/>
      <c r="H70" s="418"/>
      <c r="I70" s="445"/>
      <c r="J70" s="418"/>
      <c r="K70" s="445"/>
      <c r="L70" s="418"/>
      <c r="M70" s="445"/>
      <c r="N70" s="418"/>
      <c r="O70" s="445"/>
      <c r="P70" s="418"/>
      <c r="Q70" s="445"/>
      <c r="R70" s="418"/>
      <c r="S70" s="445"/>
      <c r="T70" s="416"/>
      <c r="U70" s="445"/>
      <c r="V70" s="418"/>
      <c r="W70" s="445"/>
      <c r="X70" s="416"/>
      <c r="Y70" s="445"/>
      <c r="Z70" s="418"/>
      <c r="AA70" s="446"/>
      <c r="AB70" s="416"/>
      <c r="AC70" s="445"/>
      <c r="AD70" s="416"/>
      <c r="AE70" s="446"/>
      <c r="AF70" s="416"/>
      <c r="AG70" s="445"/>
      <c r="AH70" s="416"/>
      <c r="AI70" s="446"/>
      <c r="AJ70" s="416"/>
      <c r="AK70" s="445"/>
      <c r="AL70" s="416"/>
      <c r="AM70" s="446"/>
      <c r="AN70" s="416"/>
      <c r="AO70" s="447"/>
      <c r="AP70" s="423"/>
    </row>
    <row r="71" spans="1:42" ht="13">
      <c r="A71" s="490"/>
      <c r="B71" s="180" t="s">
        <v>328</v>
      </c>
      <c r="C71" s="186"/>
      <c r="D71" s="472"/>
      <c r="E71" s="473"/>
      <c r="F71" s="489"/>
      <c r="G71" s="419"/>
      <c r="H71" s="418"/>
      <c r="I71" s="445"/>
      <c r="J71" s="418"/>
      <c r="K71" s="445"/>
      <c r="L71" s="418"/>
      <c r="M71" s="445"/>
      <c r="N71" s="418"/>
      <c r="O71" s="445"/>
      <c r="P71" s="418"/>
      <c r="Q71" s="445"/>
      <c r="R71" s="418"/>
      <c r="S71" s="445"/>
      <c r="T71" s="416"/>
      <c r="U71" s="445"/>
      <c r="V71" s="418"/>
      <c r="W71" s="445"/>
      <c r="X71" s="416"/>
      <c r="Y71" s="445"/>
      <c r="Z71" s="418"/>
      <c r="AA71" s="446"/>
      <c r="AB71" s="416"/>
      <c r="AC71" s="445"/>
      <c r="AD71" s="416"/>
      <c r="AE71" s="446"/>
      <c r="AF71" s="416"/>
      <c r="AG71" s="445"/>
      <c r="AH71" s="416"/>
      <c r="AI71" s="446"/>
      <c r="AJ71" s="416"/>
      <c r="AK71" s="445"/>
      <c r="AL71" s="416"/>
      <c r="AM71" s="446"/>
      <c r="AN71" s="416"/>
      <c r="AO71" s="447"/>
      <c r="AP71" s="423"/>
    </row>
    <row r="72" spans="1:42" ht="12.5">
      <c r="A72" s="500"/>
      <c r="B72" s="190" t="s">
        <v>763</v>
      </c>
      <c r="C72" s="181"/>
      <c r="D72" s="182"/>
      <c r="E72" s="183"/>
      <c r="F72" s="501"/>
      <c r="G72" s="242"/>
      <c r="H72" s="239"/>
      <c r="I72" s="442"/>
      <c r="J72" s="239"/>
      <c r="K72" s="442"/>
      <c r="L72" s="239"/>
      <c r="M72" s="442"/>
      <c r="N72" s="239"/>
      <c r="O72" s="442"/>
      <c r="P72" s="239"/>
      <c r="Q72" s="442"/>
      <c r="R72" s="239"/>
      <c r="S72" s="442"/>
      <c r="T72" s="236">
        <f t="shared" ref="T72:T99" si="24">R72+P72</f>
        <v>0</v>
      </c>
      <c r="U72" s="442"/>
      <c r="V72" s="239"/>
      <c r="W72" s="442"/>
      <c r="X72" s="236">
        <f t="shared" ref="X72:X99" si="25">V72+T72</f>
        <v>0</v>
      </c>
      <c r="Y72" s="442"/>
      <c r="Z72" s="239"/>
      <c r="AA72" s="443">
        <f t="shared" ref="AA72:AB99" si="26">Y72+W72</f>
        <v>0</v>
      </c>
      <c r="AB72" s="236">
        <f t="shared" si="26"/>
        <v>0</v>
      </c>
      <c r="AC72" s="442"/>
      <c r="AD72" s="236">
        <f t="shared" ref="AD72:AD99" si="27">AC72*E72</f>
        <v>0</v>
      </c>
      <c r="AE72" s="443">
        <f t="shared" ref="AE72:AF99" si="28">AC72+AA72</f>
        <v>0</v>
      </c>
      <c r="AF72" s="236">
        <f t="shared" si="28"/>
        <v>0</v>
      </c>
      <c r="AG72" s="442"/>
      <c r="AH72" s="236">
        <f t="shared" ref="AH72:AH99" si="29">AG72*E72</f>
        <v>0</v>
      </c>
      <c r="AI72" s="443">
        <f t="shared" ref="AI72:AJ99" si="30">AG72+AE72</f>
        <v>0</v>
      </c>
      <c r="AJ72" s="236">
        <f t="shared" si="30"/>
        <v>0</v>
      </c>
      <c r="AK72" s="442"/>
      <c r="AL72" s="236">
        <f t="shared" ref="AL72:AL99" si="31">AK72*E72</f>
        <v>0</v>
      </c>
      <c r="AM72" s="443">
        <f t="shared" ref="AM72:AN82" si="32">AK72+AI72</f>
        <v>0</v>
      </c>
      <c r="AN72" s="236">
        <f t="shared" si="32"/>
        <v>0</v>
      </c>
      <c r="AO72" s="444"/>
      <c r="AP72" s="424">
        <f t="shared" ref="AP72:AP99" si="33">AO72*E72</f>
        <v>0</v>
      </c>
    </row>
    <row r="73" spans="1:42" ht="12.5">
      <c r="A73" s="435"/>
      <c r="B73" s="146"/>
      <c r="C73" s="186"/>
      <c r="D73" s="182"/>
      <c r="E73" s="187"/>
      <c r="F73" s="502"/>
      <c r="G73" s="242"/>
      <c r="H73" s="239"/>
      <c r="I73" s="442"/>
      <c r="J73" s="239"/>
      <c r="K73" s="442"/>
      <c r="L73" s="239"/>
      <c r="M73" s="442"/>
      <c r="N73" s="239"/>
      <c r="O73" s="442"/>
      <c r="P73" s="239"/>
      <c r="Q73" s="442"/>
      <c r="R73" s="239"/>
      <c r="S73" s="442"/>
      <c r="T73" s="236">
        <f t="shared" si="24"/>
        <v>0</v>
      </c>
      <c r="U73" s="442"/>
      <c r="V73" s="239"/>
      <c r="W73" s="442"/>
      <c r="X73" s="236">
        <f t="shared" si="25"/>
        <v>0</v>
      </c>
      <c r="Y73" s="442"/>
      <c r="Z73" s="239"/>
      <c r="AA73" s="443">
        <f t="shared" si="26"/>
        <v>0</v>
      </c>
      <c r="AB73" s="236">
        <f t="shared" si="26"/>
        <v>0</v>
      </c>
      <c r="AC73" s="442"/>
      <c r="AD73" s="236">
        <f t="shared" si="27"/>
        <v>0</v>
      </c>
      <c r="AE73" s="443">
        <f t="shared" si="28"/>
        <v>0</v>
      </c>
      <c r="AF73" s="236">
        <f t="shared" si="28"/>
        <v>0</v>
      </c>
      <c r="AG73" s="442"/>
      <c r="AH73" s="236">
        <f t="shared" si="29"/>
        <v>0</v>
      </c>
      <c r="AI73" s="443">
        <f t="shared" si="30"/>
        <v>0</v>
      </c>
      <c r="AJ73" s="236">
        <f t="shared" si="30"/>
        <v>0</v>
      </c>
      <c r="AK73" s="442"/>
      <c r="AL73" s="236">
        <f t="shared" si="31"/>
        <v>0</v>
      </c>
      <c r="AM73" s="443">
        <f t="shared" si="32"/>
        <v>0</v>
      </c>
      <c r="AN73" s="236">
        <f t="shared" si="32"/>
        <v>0</v>
      </c>
      <c r="AO73" s="444"/>
      <c r="AP73" s="424">
        <f t="shared" si="33"/>
        <v>0</v>
      </c>
    </row>
    <row r="74" spans="1:42" ht="27">
      <c r="A74" s="435" t="s">
        <v>764</v>
      </c>
      <c r="B74" s="146" t="s">
        <v>331</v>
      </c>
      <c r="C74" s="186" t="s">
        <v>10</v>
      </c>
      <c r="D74" s="182">
        <v>1</v>
      </c>
      <c r="E74" s="170">
        <v>11565</v>
      </c>
      <c r="F74" s="489">
        <f>D74*E74</f>
        <v>11565</v>
      </c>
      <c r="G74" s="242"/>
      <c r="H74" s="239"/>
      <c r="I74" s="442"/>
      <c r="J74" s="239"/>
      <c r="K74" s="442"/>
      <c r="L74" s="239"/>
      <c r="M74" s="442"/>
      <c r="N74" s="239"/>
      <c r="O74" s="442"/>
      <c r="P74" s="239"/>
      <c r="Q74" s="442"/>
      <c r="R74" s="239"/>
      <c r="S74" s="442"/>
      <c r="T74" s="236">
        <f t="shared" si="24"/>
        <v>0</v>
      </c>
      <c r="U74" s="442"/>
      <c r="V74" s="239"/>
      <c r="W74" s="442"/>
      <c r="X74" s="236">
        <f t="shared" si="25"/>
        <v>0</v>
      </c>
      <c r="Y74" s="442"/>
      <c r="Z74" s="239"/>
      <c r="AA74" s="443">
        <f t="shared" si="26"/>
        <v>0</v>
      </c>
      <c r="AB74" s="236">
        <f t="shared" si="26"/>
        <v>0</v>
      </c>
      <c r="AC74" s="442"/>
      <c r="AD74" s="236">
        <f t="shared" si="27"/>
        <v>0</v>
      </c>
      <c r="AE74" s="443">
        <f t="shared" si="28"/>
        <v>0</v>
      </c>
      <c r="AF74" s="236">
        <f t="shared" si="28"/>
        <v>0</v>
      </c>
      <c r="AG74" s="442"/>
      <c r="AH74" s="236">
        <f t="shared" si="29"/>
        <v>0</v>
      </c>
      <c r="AI74" s="443">
        <f t="shared" si="30"/>
        <v>0</v>
      </c>
      <c r="AJ74" s="236">
        <f t="shared" si="30"/>
        <v>0</v>
      </c>
      <c r="AK74" s="442"/>
      <c r="AL74" s="236">
        <f t="shared" si="31"/>
        <v>0</v>
      </c>
      <c r="AM74" s="443">
        <f t="shared" si="32"/>
        <v>0</v>
      </c>
      <c r="AN74" s="236">
        <f t="shared" si="32"/>
        <v>0</v>
      </c>
      <c r="AO74" s="444"/>
      <c r="AP74" s="424">
        <f t="shared" si="33"/>
        <v>0</v>
      </c>
    </row>
    <row r="75" spans="1:42" ht="12.5">
      <c r="A75" s="435"/>
      <c r="B75" s="188"/>
      <c r="C75" s="181"/>
      <c r="D75" s="182">
        <v>0</v>
      </c>
      <c r="E75" s="184"/>
      <c r="F75" s="501"/>
      <c r="G75" s="242"/>
      <c r="H75" s="239"/>
      <c r="I75" s="442"/>
      <c r="J75" s="239"/>
      <c r="K75" s="442"/>
      <c r="L75" s="239"/>
      <c r="M75" s="442"/>
      <c r="N75" s="239"/>
      <c r="O75" s="442"/>
      <c r="P75" s="239"/>
      <c r="Q75" s="442"/>
      <c r="R75" s="239"/>
      <c r="S75" s="442"/>
      <c r="T75" s="236">
        <f t="shared" si="24"/>
        <v>0</v>
      </c>
      <c r="U75" s="442"/>
      <c r="V75" s="239"/>
      <c r="W75" s="442"/>
      <c r="X75" s="236">
        <f t="shared" si="25"/>
        <v>0</v>
      </c>
      <c r="Y75" s="442"/>
      <c r="Z75" s="239"/>
      <c r="AA75" s="443">
        <f t="shared" si="26"/>
        <v>0</v>
      </c>
      <c r="AB75" s="236">
        <f t="shared" si="26"/>
        <v>0</v>
      </c>
      <c r="AC75" s="442"/>
      <c r="AD75" s="236">
        <f t="shared" si="27"/>
        <v>0</v>
      </c>
      <c r="AE75" s="443">
        <f t="shared" si="28"/>
        <v>0</v>
      </c>
      <c r="AF75" s="236">
        <f t="shared" si="28"/>
        <v>0</v>
      </c>
      <c r="AG75" s="442"/>
      <c r="AH75" s="236">
        <f t="shared" si="29"/>
        <v>0</v>
      </c>
      <c r="AI75" s="443">
        <f t="shared" si="30"/>
        <v>0</v>
      </c>
      <c r="AJ75" s="236">
        <f t="shared" si="30"/>
        <v>0</v>
      </c>
      <c r="AK75" s="442"/>
      <c r="AL75" s="236">
        <f t="shared" si="31"/>
        <v>0</v>
      </c>
      <c r="AM75" s="443">
        <f t="shared" si="32"/>
        <v>0</v>
      </c>
      <c r="AN75" s="236">
        <f t="shared" si="32"/>
        <v>0</v>
      </c>
      <c r="AO75" s="444"/>
      <c r="AP75" s="424">
        <f t="shared" si="33"/>
        <v>0</v>
      </c>
    </row>
    <row r="76" spans="1:42" ht="27" hidden="1">
      <c r="A76" s="435" t="s">
        <v>332</v>
      </c>
      <c r="B76" s="146" t="s">
        <v>333</v>
      </c>
      <c r="C76" s="186" t="s">
        <v>10</v>
      </c>
      <c r="D76" s="182">
        <v>1</v>
      </c>
      <c r="E76" s="170">
        <v>13875</v>
      </c>
      <c r="F76" s="502">
        <f>D76*E76</f>
        <v>13875</v>
      </c>
      <c r="G76" s="242"/>
      <c r="H76" s="239"/>
      <c r="I76" s="442"/>
      <c r="J76" s="239"/>
      <c r="K76" s="442"/>
      <c r="L76" s="239"/>
      <c r="M76" s="442"/>
      <c r="N76" s="239"/>
      <c r="O76" s="442"/>
      <c r="P76" s="239"/>
      <c r="Q76" s="442"/>
      <c r="R76" s="239"/>
      <c r="S76" s="442"/>
      <c r="T76" s="236">
        <f t="shared" si="24"/>
        <v>0</v>
      </c>
      <c r="U76" s="442"/>
      <c r="V76" s="239"/>
      <c r="W76" s="442"/>
      <c r="X76" s="236">
        <f t="shared" si="25"/>
        <v>0</v>
      </c>
      <c r="Y76" s="442"/>
      <c r="Z76" s="239"/>
      <c r="AA76" s="443">
        <f t="shared" si="26"/>
        <v>0</v>
      </c>
      <c r="AB76" s="236">
        <f t="shared" si="26"/>
        <v>0</v>
      </c>
      <c r="AC76" s="442"/>
      <c r="AD76" s="236">
        <f t="shared" si="27"/>
        <v>0</v>
      </c>
      <c r="AE76" s="443">
        <f t="shared" si="28"/>
        <v>0</v>
      </c>
      <c r="AF76" s="236">
        <f t="shared" si="28"/>
        <v>0</v>
      </c>
      <c r="AG76" s="442"/>
      <c r="AH76" s="236">
        <f t="shared" si="29"/>
        <v>0</v>
      </c>
      <c r="AI76" s="443">
        <f t="shared" si="30"/>
        <v>0</v>
      </c>
      <c r="AJ76" s="236">
        <f t="shared" si="30"/>
        <v>0</v>
      </c>
      <c r="AK76" s="442"/>
      <c r="AL76" s="236">
        <f t="shared" si="31"/>
        <v>0</v>
      </c>
      <c r="AM76" s="443">
        <f t="shared" si="32"/>
        <v>0</v>
      </c>
      <c r="AN76" s="236">
        <f t="shared" si="32"/>
        <v>0</v>
      </c>
      <c r="AO76" s="444"/>
      <c r="AP76" s="424">
        <f t="shared" si="33"/>
        <v>0</v>
      </c>
    </row>
    <row r="77" spans="1:42" ht="12.5" hidden="1">
      <c r="A77" s="435"/>
      <c r="B77" s="188"/>
      <c r="C77" s="181"/>
      <c r="D77" s="182">
        <v>0</v>
      </c>
      <c r="E77" s="187"/>
      <c r="F77" s="501"/>
      <c r="G77" s="242"/>
      <c r="H77" s="239"/>
      <c r="I77" s="442"/>
      <c r="J77" s="239"/>
      <c r="K77" s="442"/>
      <c r="L77" s="239"/>
      <c r="M77" s="442"/>
      <c r="N77" s="239"/>
      <c r="O77" s="442"/>
      <c r="P77" s="239"/>
      <c r="Q77" s="442"/>
      <c r="R77" s="239"/>
      <c r="S77" s="442"/>
      <c r="T77" s="236">
        <f t="shared" si="24"/>
        <v>0</v>
      </c>
      <c r="U77" s="442"/>
      <c r="V77" s="239"/>
      <c r="W77" s="442"/>
      <c r="X77" s="236">
        <f t="shared" si="25"/>
        <v>0</v>
      </c>
      <c r="Y77" s="442"/>
      <c r="Z77" s="239"/>
      <c r="AA77" s="443">
        <f t="shared" si="26"/>
        <v>0</v>
      </c>
      <c r="AB77" s="236">
        <f t="shared" si="26"/>
        <v>0</v>
      </c>
      <c r="AC77" s="442"/>
      <c r="AD77" s="236">
        <f t="shared" si="27"/>
        <v>0</v>
      </c>
      <c r="AE77" s="443">
        <f t="shared" si="28"/>
        <v>0</v>
      </c>
      <c r="AF77" s="236">
        <f t="shared" si="28"/>
        <v>0</v>
      </c>
      <c r="AG77" s="442"/>
      <c r="AH77" s="236">
        <f t="shared" si="29"/>
        <v>0</v>
      </c>
      <c r="AI77" s="443">
        <f t="shared" si="30"/>
        <v>0</v>
      </c>
      <c r="AJ77" s="236">
        <f t="shared" si="30"/>
        <v>0</v>
      </c>
      <c r="AK77" s="442"/>
      <c r="AL77" s="236">
        <f t="shared" si="31"/>
        <v>0</v>
      </c>
      <c r="AM77" s="443">
        <f t="shared" si="32"/>
        <v>0</v>
      </c>
      <c r="AN77" s="236">
        <f t="shared" si="32"/>
        <v>0</v>
      </c>
      <c r="AO77" s="444"/>
      <c r="AP77" s="424">
        <f t="shared" si="33"/>
        <v>0</v>
      </c>
    </row>
    <row r="78" spans="1:42" ht="12.5">
      <c r="A78" s="500"/>
      <c r="B78" s="190" t="s">
        <v>765</v>
      </c>
      <c r="C78" s="181"/>
      <c r="D78" s="182">
        <v>0</v>
      </c>
      <c r="E78" s="183"/>
      <c r="F78" s="501"/>
      <c r="G78" s="242"/>
      <c r="H78" s="239"/>
      <c r="I78" s="442"/>
      <c r="J78" s="239"/>
      <c r="K78" s="442"/>
      <c r="L78" s="239"/>
      <c r="M78" s="442"/>
      <c r="N78" s="239"/>
      <c r="O78" s="442"/>
      <c r="P78" s="239"/>
      <c r="Q78" s="442"/>
      <c r="R78" s="239"/>
      <c r="S78" s="442"/>
      <c r="T78" s="236">
        <f t="shared" si="24"/>
        <v>0</v>
      </c>
      <c r="U78" s="442"/>
      <c r="V78" s="239"/>
      <c r="W78" s="442"/>
      <c r="X78" s="236">
        <f t="shared" si="25"/>
        <v>0</v>
      </c>
      <c r="Y78" s="442"/>
      <c r="Z78" s="239"/>
      <c r="AA78" s="443">
        <f t="shared" si="26"/>
        <v>0</v>
      </c>
      <c r="AB78" s="236">
        <f t="shared" si="26"/>
        <v>0</v>
      </c>
      <c r="AC78" s="442"/>
      <c r="AD78" s="236">
        <f t="shared" si="27"/>
        <v>0</v>
      </c>
      <c r="AE78" s="443">
        <f t="shared" si="28"/>
        <v>0</v>
      </c>
      <c r="AF78" s="236">
        <f t="shared" si="28"/>
        <v>0</v>
      </c>
      <c r="AG78" s="442"/>
      <c r="AH78" s="236">
        <f t="shared" si="29"/>
        <v>0</v>
      </c>
      <c r="AI78" s="443">
        <f t="shared" si="30"/>
        <v>0</v>
      </c>
      <c r="AJ78" s="236">
        <f t="shared" si="30"/>
        <v>0</v>
      </c>
      <c r="AK78" s="442"/>
      <c r="AL78" s="236">
        <f t="shared" si="31"/>
        <v>0</v>
      </c>
      <c r="AM78" s="443">
        <f t="shared" si="32"/>
        <v>0</v>
      </c>
      <c r="AN78" s="236">
        <f t="shared" si="32"/>
        <v>0</v>
      </c>
      <c r="AO78" s="444"/>
      <c r="AP78" s="424">
        <f t="shared" si="33"/>
        <v>0</v>
      </c>
    </row>
    <row r="79" spans="1:42" ht="12.5">
      <c r="A79" s="435"/>
      <c r="B79" s="191"/>
      <c r="C79" s="181"/>
      <c r="D79" s="182">
        <v>0</v>
      </c>
      <c r="E79" s="187"/>
      <c r="F79" s="501"/>
      <c r="G79" s="242"/>
      <c r="H79" s="239"/>
      <c r="I79" s="442"/>
      <c r="J79" s="239"/>
      <c r="K79" s="442"/>
      <c r="L79" s="239"/>
      <c r="M79" s="442"/>
      <c r="N79" s="239"/>
      <c r="O79" s="442"/>
      <c r="P79" s="239"/>
      <c r="Q79" s="442"/>
      <c r="R79" s="239"/>
      <c r="S79" s="442"/>
      <c r="T79" s="236">
        <f t="shared" si="24"/>
        <v>0</v>
      </c>
      <c r="U79" s="442"/>
      <c r="V79" s="239"/>
      <c r="W79" s="442"/>
      <c r="X79" s="236">
        <f t="shared" si="25"/>
        <v>0</v>
      </c>
      <c r="Y79" s="442"/>
      <c r="Z79" s="239"/>
      <c r="AA79" s="443">
        <f t="shared" si="26"/>
        <v>0</v>
      </c>
      <c r="AB79" s="236">
        <f t="shared" si="26"/>
        <v>0</v>
      </c>
      <c r="AC79" s="442"/>
      <c r="AD79" s="236">
        <f t="shared" si="27"/>
        <v>0</v>
      </c>
      <c r="AE79" s="443">
        <f t="shared" si="28"/>
        <v>0</v>
      </c>
      <c r="AF79" s="236">
        <f t="shared" si="28"/>
        <v>0</v>
      </c>
      <c r="AG79" s="442"/>
      <c r="AH79" s="236">
        <f t="shared" si="29"/>
        <v>0</v>
      </c>
      <c r="AI79" s="443">
        <f t="shared" si="30"/>
        <v>0</v>
      </c>
      <c r="AJ79" s="236">
        <f t="shared" si="30"/>
        <v>0</v>
      </c>
      <c r="AK79" s="442"/>
      <c r="AL79" s="236">
        <f t="shared" si="31"/>
        <v>0</v>
      </c>
      <c r="AM79" s="443">
        <f t="shared" si="32"/>
        <v>0</v>
      </c>
      <c r="AN79" s="236">
        <f t="shared" si="32"/>
        <v>0</v>
      </c>
      <c r="AO79" s="444"/>
      <c r="AP79" s="424">
        <f t="shared" si="33"/>
        <v>0</v>
      </c>
    </row>
    <row r="80" spans="1:42" ht="30.75" customHeight="1">
      <c r="A80" s="435" t="s">
        <v>532</v>
      </c>
      <c r="B80" s="191" t="s">
        <v>336</v>
      </c>
      <c r="C80" s="181" t="s">
        <v>10</v>
      </c>
      <c r="D80" s="182">
        <v>1</v>
      </c>
      <c r="E80" s="187">
        <v>67400</v>
      </c>
      <c r="F80" s="502">
        <f>D80*E80</f>
        <v>67400</v>
      </c>
      <c r="G80" s="242"/>
      <c r="H80" s="239"/>
      <c r="I80" s="442">
        <v>8</v>
      </c>
      <c r="J80" s="239">
        <f>E80*I80</f>
        <v>539200</v>
      </c>
      <c r="K80" s="442">
        <f>I80+G80</f>
        <v>8</v>
      </c>
      <c r="L80" s="239">
        <f>J80+H80</f>
        <v>539200</v>
      </c>
      <c r="M80" s="442">
        <v>15</v>
      </c>
      <c r="N80" s="239">
        <f>M80*E80</f>
        <v>1011000</v>
      </c>
      <c r="O80" s="442">
        <f>M80+K80</f>
        <v>23</v>
      </c>
      <c r="P80" s="239">
        <f>O80*E80</f>
        <v>1550200</v>
      </c>
      <c r="Q80" s="442">
        <v>12</v>
      </c>
      <c r="R80" s="239">
        <f>Q80*E80</f>
        <v>808800</v>
      </c>
      <c r="S80" s="442">
        <f>Q80+O80</f>
        <v>35</v>
      </c>
      <c r="T80" s="236">
        <f t="shared" si="24"/>
        <v>2359000</v>
      </c>
      <c r="U80" s="442"/>
      <c r="V80" s="239">
        <f>U80*I80</f>
        <v>0</v>
      </c>
      <c r="W80" s="442">
        <f>U80+S80</f>
        <v>35</v>
      </c>
      <c r="X80" s="236">
        <f t="shared" si="25"/>
        <v>2359000</v>
      </c>
      <c r="Y80" s="442"/>
      <c r="Z80" s="239">
        <f>Y80*M80</f>
        <v>0</v>
      </c>
      <c r="AA80" s="443">
        <f t="shared" si="26"/>
        <v>35</v>
      </c>
      <c r="AB80" s="236">
        <f t="shared" si="26"/>
        <v>2359000</v>
      </c>
      <c r="AC80" s="442"/>
      <c r="AD80" s="236">
        <f t="shared" si="27"/>
        <v>0</v>
      </c>
      <c r="AE80" s="443">
        <f t="shared" si="28"/>
        <v>35</v>
      </c>
      <c r="AF80" s="236">
        <f t="shared" si="28"/>
        <v>2359000</v>
      </c>
      <c r="AG80" s="442"/>
      <c r="AH80" s="236">
        <f t="shared" si="29"/>
        <v>0</v>
      </c>
      <c r="AI80" s="443">
        <f t="shared" si="30"/>
        <v>35</v>
      </c>
      <c r="AJ80" s="236">
        <f t="shared" si="30"/>
        <v>2359000</v>
      </c>
      <c r="AK80" s="442"/>
      <c r="AL80" s="236">
        <f t="shared" si="31"/>
        <v>0</v>
      </c>
      <c r="AM80" s="443">
        <f t="shared" si="32"/>
        <v>35</v>
      </c>
      <c r="AN80" s="236">
        <f t="shared" si="32"/>
        <v>2359000</v>
      </c>
      <c r="AO80" s="444"/>
      <c r="AP80" s="424">
        <f t="shared" si="33"/>
        <v>0</v>
      </c>
    </row>
    <row r="81" spans="1:42" ht="12.5">
      <c r="A81" s="435"/>
      <c r="B81" s="191"/>
      <c r="C81" s="181"/>
      <c r="D81" s="182">
        <v>0</v>
      </c>
      <c r="E81" s="187"/>
      <c r="F81" s="501"/>
      <c r="G81" s="242"/>
      <c r="H81" s="239"/>
      <c r="I81" s="442"/>
      <c r="J81" s="239"/>
      <c r="K81" s="442"/>
      <c r="L81" s="239"/>
      <c r="M81" s="442"/>
      <c r="N81" s="239"/>
      <c r="O81" s="442"/>
      <c r="P81" s="239"/>
      <c r="Q81" s="442"/>
      <c r="R81" s="239"/>
      <c r="S81" s="442"/>
      <c r="T81" s="236">
        <f t="shared" si="24"/>
        <v>0</v>
      </c>
      <c r="U81" s="442"/>
      <c r="V81" s="239"/>
      <c r="W81" s="442"/>
      <c r="X81" s="236">
        <f t="shared" si="25"/>
        <v>0</v>
      </c>
      <c r="Y81" s="442"/>
      <c r="Z81" s="239"/>
      <c r="AA81" s="443">
        <f t="shared" si="26"/>
        <v>0</v>
      </c>
      <c r="AB81" s="236">
        <f t="shared" si="26"/>
        <v>0</v>
      </c>
      <c r="AC81" s="442"/>
      <c r="AD81" s="236">
        <f t="shared" si="27"/>
        <v>0</v>
      </c>
      <c r="AE81" s="443">
        <f t="shared" si="28"/>
        <v>0</v>
      </c>
      <c r="AF81" s="236">
        <f t="shared" si="28"/>
        <v>0</v>
      </c>
      <c r="AG81" s="442"/>
      <c r="AH81" s="236">
        <f t="shared" si="29"/>
        <v>0</v>
      </c>
      <c r="AI81" s="443">
        <f t="shared" si="30"/>
        <v>0</v>
      </c>
      <c r="AJ81" s="236">
        <f t="shared" si="30"/>
        <v>0</v>
      </c>
      <c r="AK81" s="442"/>
      <c r="AL81" s="236">
        <f t="shared" si="31"/>
        <v>0</v>
      </c>
      <c r="AM81" s="443">
        <f t="shared" si="32"/>
        <v>0</v>
      </c>
      <c r="AN81" s="236">
        <f t="shared" si="32"/>
        <v>0</v>
      </c>
      <c r="AO81" s="444"/>
      <c r="AP81" s="424">
        <f t="shared" si="33"/>
        <v>0</v>
      </c>
    </row>
    <row r="82" spans="1:42" ht="25">
      <c r="A82" s="435" t="s">
        <v>534</v>
      </c>
      <c r="B82" s="192" t="s">
        <v>338</v>
      </c>
      <c r="C82" s="186" t="s">
        <v>10</v>
      </c>
      <c r="D82" s="182">
        <v>1</v>
      </c>
      <c r="E82" s="187">
        <v>67400</v>
      </c>
      <c r="F82" s="502">
        <f>D82*E82</f>
        <v>67400</v>
      </c>
      <c r="G82" s="242"/>
      <c r="H82" s="239"/>
      <c r="I82" s="442">
        <v>6</v>
      </c>
      <c r="J82" s="239">
        <f>E82*I82</f>
        <v>404400</v>
      </c>
      <c r="K82" s="442">
        <f>I82+G82</f>
        <v>6</v>
      </c>
      <c r="L82" s="239">
        <f>J82+H82</f>
        <v>404400</v>
      </c>
      <c r="M82" s="442">
        <v>12</v>
      </c>
      <c r="N82" s="239">
        <f>M82*E82</f>
        <v>808800</v>
      </c>
      <c r="O82" s="442">
        <f>M82+K82</f>
        <v>18</v>
      </c>
      <c r="P82" s="239">
        <f>O82*E82</f>
        <v>1213200</v>
      </c>
      <c r="Q82" s="442">
        <v>8</v>
      </c>
      <c r="R82" s="239">
        <f>Q82*E82</f>
        <v>539200</v>
      </c>
      <c r="S82" s="442">
        <f>Q82+O82</f>
        <v>26</v>
      </c>
      <c r="T82" s="236">
        <f t="shared" si="24"/>
        <v>1752400</v>
      </c>
      <c r="U82" s="442"/>
      <c r="V82" s="239">
        <f>U82*I82</f>
        <v>0</v>
      </c>
      <c r="W82" s="442">
        <f>U82+S82</f>
        <v>26</v>
      </c>
      <c r="X82" s="236">
        <f t="shared" si="25"/>
        <v>1752400</v>
      </c>
      <c r="Y82" s="442"/>
      <c r="Z82" s="239">
        <f>Y82*M82</f>
        <v>0</v>
      </c>
      <c r="AA82" s="443">
        <f t="shared" si="26"/>
        <v>26</v>
      </c>
      <c r="AB82" s="236">
        <f t="shared" si="26"/>
        <v>1752400</v>
      </c>
      <c r="AC82" s="442"/>
      <c r="AD82" s="236">
        <f t="shared" si="27"/>
        <v>0</v>
      </c>
      <c r="AE82" s="443">
        <f t="shared" si="28"/>
        <v>26</v>
      </c>
      <c r="AF82" s="236">
        <f t="shared" si="28"/>
        <v>1752400</v>
      </c>
      <c r="AG82" s="442"/>
      <c r="AH82" s="236">
        <f t="shared" si="29"/>
        <v>0</v>
      </c>
      <c r="AI82" s="443">
        <f t="shared" si="30"/>
        <v>26</v>
      </c>
      <c r="AJ82" s="236">
        <f t="shared" si="30"/>
        <v>1752400</v>
      </c>
      <c r="AK82" s="442"/>
      <c r="AL82" s="236">
        <f t="shared" si="31"/>
        <v>0</v>
      </c>
      <c r="AM82" s="443">
        <f t="shared" si="32"/>
        <v>26</v>
      </c>
      <c r="AN82" s="236">
        <f t="shared" si="32"/>
        <v>1752400</v>
      </c>
      <c r="AO82" s="444"/>
      <c r="AP82" s="424">
        <f t="shared" si="33"/>
        <v>0</v>
      </c>
    </row>
    <row r="83" spans="1:42" ht="12.5">
      <c r="A83" s="435"/>
      <c r="B83" s="192"/>
      <c r="C83" s="186"/>
      <c r="D83" s="182">
        <v>0</v>
      </c>
      <c r="E83" s="187"/>
      <c r="F83" s="502"/>
      <c r="G83" s="242"/>
      <c r="H83" s="239"/>
      <c r="I83" s="442"/>
      <c r="J83" s="239"/>
      <c r="K83" s="442"/>
      <c r="L83" s="239"/>
      <c r="M83" s="442"/>
      <c r="N83" s="239"/>
      <c r="O83" s="442"/>
      <c r="P83" s="239"/>
      <c r="Q83" s="442"/>
      <c r="R83" s="239"/>
      <c r="S83" s="442"/>
      <c r="T83" s="236"/>
      <c r="U83" s="442"/>
      <c r="V83" s="239"/>
      <c r="W83" s="442"/>
      <c r="X83" s="236"/>
      <c r="Y83" s="442"/>
      <c r="Z83" s="239"/>
      <c r="AA83" s="443"/>
      <c r="AB83" s="236"/>
      <c r="AC83" s="442"/>
      <c r="AD83" s="236"/>
      <c r="AE83" s="443"/>
      <c r="AF83" s="236"/>
      <c r="AG83" s="442"/>
      <c r="AH83" s="236"/>
      <c r="AI83" s="443"/>
      <c r="AJ83" s="236"/>
      <c r="AK83" s="442"/>
      <c r="AL83" s="236"/>
      <c r="AM83" s="443"/>
      <c r="AN83" s="236"/>
      <c r="AO83" s="444"/>
      <c r="AP83" s="424"/>
    </row>
    <row r="84" spans="1:42" ht="12.5">
      <c r="A84" s="500"/>
      <c r="B84" s="190" t="s">
        <v>766</v>
      </c>
      <c r="C84" s="181"/>
      <c r="D84" s="182">
        <v>0</v>
      </c>
      <c r="E84" s="183"/>
      <c r="F84" s="503"/>
      <c r="G84" s="242"/>
      <c r="H84" s="239"/>
      <c r="I84" s="442"/>
      <c r="J84" s="239"/>
      <c r="K84" s="442"/>
      <c r="L84" s="239"/>
      <c r="M84" s="442"/>
      <c r="N84" s="239"/>
      <c r="O84" s="442"/>
      <c r="P84" s="239"/>
      <c r="Q84" s="442"/>
      <c r="R84" s="239"/>
      <c r="S84" s="442"/>
      <c r="T84" s="236">
        <f t="shared" si="24"/>
        <v>0</v>
      </c>
      <c r="U84" s="442"/>
      <c r="V84" s="239"/>
      <c r="W84" s="442"/>
      <c r="X84" s="236">
        <f t="shared" si="25"/>
        <v>0</v>
      </c>
      <c r="Y84" s="442"/>
      <c r="Z84" s="239"/>
      <c r="AA84" s="443">
        <f t="shared" si="26"/>
        <v>0</v>
      </c>
      <c r="AB84" s="236">
        <f t="shared" si="26"/>
        <v>0</v>
      </c>
      <c r="AC84" s="442"/>
      <c r="AD84" s="236">
        <f t="shared" si="27"/>
        <v>0</v>
      </c>
      <c r="AE84" s="443">
        <f t="shared" si="28"/>
        <v>0</v>
      </c>
      <c r="AF84" s="236">
        <f t="shared" si="28"/>
        <v>0</v>
      </c>
      <c r="AG84" s="442"/>
      <c r="AH84" s="236">
        <f t="shared" si="29"/>
        <v>0</v>
      </c>
      <c r="AI84" s="443">
        <f t="shared" si="30"/>
        <v>0</v>
      </c>
      <c r="AJ84" s="236">
        <f t="shared" si="30"/>
        <v>0</v>
      </c>
      <c r="AK84" s="442"/>
      <c r="AL84" s="236">
        <f t="shared" si="31"/>
        <v>0</v>
      </c>
      <c r="AM84" s="443">
        <f t="shared" ref="AM84:AN99" si="34">AK84+AI84</f>
        <v>0</v>
      </c>
      <c r="AN84" s="236">
        <f t="shared" si="34"/>
        <v>0</v>
      </c>
      <c r="AO84" s="444"/>
      <c r="AP84" s="424">
        <f t="shared" si="33"/>
        <v>0</v>
      </c>
    </row>
    <row r="85" spans="1:42" ht="12.5">
      <c r="A85" s="435"/>
      <c r="B85" s="188"/>
      <c r="C85" s="181"/>
      <c r="D85" s="182">
        <v>0</v>
      </c>
      <c r="E85" s="187"/>
      <c r="F85" s="501"/>
      <c r="G85" s="242"/>
      <c r="H85" s="239"/>
      <c r="I85" s="442"/>
      <c r="J85" s="239"/>
      <c r="K85" s="442"/>
      <c r="L85" s="239"/>
      <c r="M85" s="442"/>
      <c r="N85" s="239"/>
      <c r="O85" s="442"/>
      <c r="P85" s="239"/>
      <c r="Q85" s="442"/>
      <c r="R85" s="239"/>
      <c r="S85" s="442"/>
      <c r="T85" s="236">
        <f t="shared" si="24"/>
        <v>0</v>
      </c>
      <c r="U85" s="442"/>
      <c r="V85" s="239"/>
      <c r="W85" s="442"/>
      <c r="X85" s="236">
        <f t="shared" si="25"/>
        <v>0</v>
      </c>
      <c r="Y85" s="442"/>
      <c r="Z85" s="239"/>
      <c r="AA85" s="443">
        <f t="shared" si="26"/>
        <v>0</v>
      </c>
      <c r="AB85" s="236">
        <f t="shared" si="26"/>
        <v>0</v>
      </c>
      <c r="AC85" s="442"/>
      <c r="AD85" s="236">
        <f t="shared" si="27"/>
        <v>0</v>
      </c>
      <c r="AE85" s="443">
        <f t="shared" si="28"/>
        <v>0</v>
      </c>
      <c r="AF85" s="236">
        <f t="shared" si="28"/>
        <v>0</v>
      </c>
      <c r="AG85" s="442"/>
      <c r="AH85" s="236">
        <f t="shared" si="29"/>
        <v>0</v>
      </c>
      <c r="AI85" s="443">
        <f t="shared" si="30"/>
        <v>0</v>
      </c>
      <c r="AJ85" s="236">
        <f t="shared" si="30"/>
        <v>0</v>
      </c>
      <c r="AK85" s="442"/>
      <c r="AL85" s="236">
        <f t="shared" si="31"/>
        <v>0</v>
      </c>
      <c r="AM85" s="443">
        <f t="shared" si="34"/>
        <v>0</v>
      </c>
      <c r="AN85" s="236">
        <f t="shared" si="34"/>
        <v>0</v>
      </c>
      <c r="AO85" s="444"/>
      <c r="AP85" s="424">
        <f t="shared" si="33"/>
        <v>0</v>
      </c>
    </row>
    <row r="86" spans="1:42" ht="12.5">
      <c r="A86" s="435" t="s">
        <v>767</v>
      </c>
      <c r="B86" s="146" t="s">
        <v>341</v>
      </c>
      <c r="C86" s="186" t="s">
        <v>10</v>
      </c>
      <c r="D86" s="182">
        <v>1</v>
      </c>
      <c r="E86" s="187">
        <v>5385</v>
      </c>
      <c r="F86" s="502">
        <f>D86*E86</f>
        <v>5385</v>
      </c>
      <c r="G86" s="242"/>
      <c r="H86" s="239"/>
      <c r="I86" s="442"/>
      <c r="J86" s="239"/>
      <c r="K86" s="442"/>
      <c r="L86" s="239"/>
      <c r="M86" s="442"/>
      <c r="N86" s="239"/>
      <c r="O86" s="442"/>
      <c r="P86" s="239"/>
      <c r="Q86" s="442"/>
      <c r="R86" s="239"/>
      <c r="S86" s="442"/>
      <c r="T86" s="236">
        <f t="shared" si="24"/>
        <v>0</v>
      </c>
      <c r="U86" s="442"/>
      <c r="V86" s="239"/>
      <c r="W86" s="442"/>
      <c r="X86" s="236">
        <f t="shared" si="25"/>
        <v>0</v>
      </c>
      <c r="Y86" s="442"/>
      <c r="Z86" s="239"/>
      <c r="AA86" s="443">
        <f t="shared" si="26"/>
        <v>0</v>
      </c>
      <c r="AB86" s="236">
        <f t="shared" si="26"/>
        <v>0</v>
      </c>
      <c r="AC86" s="442"/>
      <c r="AD86" s="236">
        <f t="shared" si="27"/>
        <v>0</v>
      </c>
      <c r="AE86" s="443">
        <f t="shared" si="28"/>
        <v>0</v>
      </c>
      <c r="AF86" s="236">
        <f t="shared" si="28"/>
        <v>0</v>
      </c>
      <c r="AG86" s="442"/>
      <c r="AH86" s="236">
        <f t="shared" si="29"/>
        <v>0</v>
      </c>
      <c r="AI86" s="443">
        <f t="shared" si="30"/>
        <v>0</v>
      </c>
      <c r="AJ86" s="236">
        <f t="shared" si="30"/>
        <v>0</v>
      </c>
      <c r="AK86" s="442"/>
      <c r="AL86" s="236">
        <f t="shared" si="31"/>
        <v>0</v>
      </c>
      <c r="AM86" s="443">
        <f t="shared" si="34"/>
        <v>0</v>
      </c>
      <c r="AN86" s="236">
        <f t="shared" si="34"/>
        <v>0</v>
      </c>
      <c r="AO86" s="444"/>
      <c r="AP86" s="424">
        <f t="shared" si="33"/>
        <v>0</v>
      </c>
    </row>
    <row r="87" spans="1:42" ht="12.5">
      <c r="A87" s="435"/>
      <c r="B87" s="188"/>
      <c r="C87" s="181"/>
      <c r="D87" s="182">
        <v>0</v>
      </c>
      <c r="E87" s="187"/>
      <c r="F87" s="501"/>
      <c r="G87" s="242"/>
      <c r="H87" s="239"/>
      <c r="I87" s="442"/>
      <c r="J87" s="239"/>
      <c r="K87" s="442"/>
      <c r="L87" s="239"/>
      <c r="M87" s="442"/>
      <c r="N87" s="239"/>
      <c r="O87" s="442"/>
      <c r="P87" s="239"/>
      <c r="Q87" s="442"/>
      <c r="R87" s="239"/>
      <c r="S87" s="442"/>
      <c r="T87" s="236">
        <f t="shared" si="24"/>
        <v>0</v>
      </c>
      <c r="U87" s="442"/>
      <c r="V87" s="239"/>
      <c r="W87" s="442"/>
      <c r="X87" s="236">
        <f t="shared" si="25"/>
        <v>0</v>
      </c>
      <c r="Y87" s="442"/>
      <c r="Z87" s="239"/>
      <c r="AA87" s="443">
        <f t="shared" si="26"/>
        <v>0</v>
      </c>
      <c r="AB87" s="236">
        <f t="shared" si="26"/>
        <v>0</v>
      </c>
      <c r="AC87" s="442"/>
      <c r="AD87" s="236">
        <f t="shared" si="27"/>
        <v>0</v>
      </c>
      <c r="AE87" s="443">
        <f t="shared" si="28"/>
        <v>0</v>
      </c>
      <c r="AF87" s="236">
        <f t="shared" si="28"/>
        <v>0</v>
      </c>
      <c r="AG87" s="442"/>
      <c r="AH87" s="236">
        <f t="shared" si="29"/>
        <v>0</v>
      </c>
      <c r="AI87" s="443">
        <f t="shared" si="30"/>
        <v>0</v>
      </c>
      <c r="AJ87" s="236">
        <f t="shared" si="30"/>
        <v>0</v>
      </c>
      <c r="AK87" s="442"/>
      <c r="AL87" s="236">
        <f t="shared" si="31"/>
        <v>0</v>
      </c>
      <c r="AM87" s="443">
        <f t="shared" si="34"/>
        <v>0</v>
      </c>
      <c r="AN87" s="236">
        <f t="shared" si="34"/>
        <v>0</v>
      </c>
      <c r="AO87" s="444"/>
      <c r="AP87" s="424">
        <f t="shared" si="33"/>
        <v>0</v>
      </c>
    </row>
    <row r="88" spans="1:42" ht="12.5">
      <c r="A88" s="435" t="s">
        <v>768</v>
      </c>
      <c r="B88" s="146" t="s">
        <v>343</v>
      </c>
      <c r="C88" s="186" t="s">
        <v>10</v>
      </c>
      <c r="D88" s="182">
        <v>2</v>
      </c>
      <c r="E88" s="187">
        <v>31765</v>
      </c>
      <c r="F88" s="502">
        <f>D88*E88</f>
        <v>63530</v>
      </c>
      <c r="G88" s="242"/>
      <c r="H88" s="239"/>
      <c r="I88" s="442"/>
      <c r="J88" s="239"/>
      <c r="K88" s="442"/>
      <c r="L88" s="239"/>
      <c r="M88" s="442"/>
      <c r="N88" s="239"/>
      <c r="O88" s="442"/>
      <c r="P88" s="239"/>
      <c r="Q88" s="442"/>
      <c r="R88" s="239"/>
      <c r="S88" s="442"/>
      <c r="T88" s="236">
        <f t="shared" si="24"/>
        <v>0</v>
      </c>
      <c r="U88" s="442"/>
      <c r="V88" s="239"/>
      <c r="W88" s="442"/>
      <c r="X88" s="236">
        <f t="shared" si="25"/>
        <v>0</v>
      </c>
      <c r="Y88" s="442"/>
      <c r="Z88" s="239"/>
      <c r="AA88" s="443">
        <f t="shared" si="26"/>
        <v>0</v>
      </c>
      <c r="AB88" s="236">
        <f t="shared" si="26"/>
        <v>0</v>
      </c>
      <c r="AC88" s="442"/>
      <c r="AD88" s="236">
        <f t="shared" si="27"/>
        <v>0</v>
      </c>
      <c r="AE88" s="443">
        <f t="shared" si="28"/>
        <v>0</v>
      </c>
      <c r="AF88" s="236">
        <f t="shared" si="28"/>
        <v>0</v>
      </c>
      <c r="AG88" s="442"/>
      <c r="AH88" s="236">
        <f t="shared" si="29"/>
        <v>0</v>
      </c>
      <c r="AI88" s="443">
        <f t="shared" si="30"/>
        <v>0</v>
      </c>
      <c r="AJ88" s="236">
        <f t="shared" si="30"/>
        <v>0</v>
      </c>
      <c r="AK88" s="442"/>
      <c r="AL88" s="236">
        <f t="shared" si="31"/>
        <v>0</v>
      </c>
      <c r="AM88" s="443">
        <f t="shared" si="34"/>
        <v>0</v>
      </c>
      <c r="AN88" s="236">
        <f t="shared" si="34"/>
        <v>0</v>
      </c>
      <c r="AO88" s="444"/>
      <c r="AP88" s="424">
        <f t="shared" si="33"/>
        <v>0</v>
      </c>
    </row>
    <row r="89" spans="1:42" ht="12.5">
      <c r="A89" s="435"/>
      <c r="B89" s="146"/>
      <c r="C89" s="186"/>
      <c r="D89" s="182"/>
      <c r="E89" s="187"/>
      <c r="F89" s="502">
        <f>D89*E89</f>
        <v>0</v>
      </c>
      <c r="G89" s="242"/>
      <c r="H89" s="239"/>
      <c r="I89" s="442"/>
      <c r="J89" s="239"/>
      <c r="K89" s="442"/>
      <c r="L89" s="239"/>
      <c r="M89" s="442"/>
      <c r="N89" s="239"/>
      <c r="O89" s="442"/>
      <c r="P89" s="239"/>
      <c r="Q89" s="442"/>
      <c r="R89" s="239"/>
      <c r="S89" s="442"/>
      <c r="T89" s="236"/>
      <c r="U89" s="442"/>
      <c r="V89" s="239"/>
      <c r="W89" s="442"/>
      <c r="X89" s="236"/>
      <c r="Y89" s="442"/>
      <c r="Z89" s="239"/>
      <c r="AA89" s="443"/>
      <c r="AB89" s="236"/>
      <c r="AC89" s="442"/>
      <c r="AD89" s="236"/>
      <c r="AE89" s="443"/>
      <c r="AF89" s="236"/>
      <c r="AG89" s="442"/>
      <c r="AH89" s="236"/>
      <c r="AI89" s="443"/>
      <c r="AJ89" s="236"/>
      <c r="AK89" s="442"/>
      <c r="AL89" s="236"/>
      <c r="AM89" s="443"/>
      <c r="AN89" s="236"/>
      <c r="AO89" s="444"/>
      <c r="AP89" s="424"/>
    </row>
    <row r="90" spans="1:42" ht="12.5">
      <c r="A90" s="435" t="s">
        <v>913</v>
      </c>
      <c r="B90" s="146" t="s">
        <v>910</v>
      </c>
      <c r="C90" s="181" t="s">
        <v>10</v>
      </c>
      <c r="D90" s="182">
        <v>2</v>
      </c>
      <c r="E90" s="187">
        <v>20000</v>
      </c>
      <c r="F90" s="502">
        <f>D90*E90</f>
        <v>40000</v>
      </c>
      <c r="G90" s="242"/>
      <c r="H90" s="239"/>
      <c r="I90" s="442"/>
      <c r="J90" s="239"/>
      <c r="K90" s="442"/>
      <c r="L90" s="239"/>
      <c r="M90" s="442"/>
      <c r="N90" s="239"/>
      <c r="O90" s="442"/>
      <c r="P90" s="239"/>
      <c r="Q90" s="442"/>
      <c r="R90" s="239"/>
      <c r="S90" s="442"/>
      <c r="T90" s="236">
        <f t="shared" si="24"/>
        <v>0</v>
      </c>
      <c r="U90" s="442"/>
      <c r="V90" s="239"/>
      <c r="W90" s="442"/>
      <c r="X90" s="236">
        <f t="shared" si="25"/>
        <v>0</v>
      </c>
      <c r="Y90" s="442"/>
      <c r="Z90" s="239"/>
      <c r="AA90" s="443">
        <f t="shared" si="26"/>
        <v>0</v>
      </c>
      <c r="AB90" s="236">
        <f t="shared" si="26"/>
        <v>0</v>
      </c>
      <c r="AC90" s="442"/>
      <c r="AD90" s="236">
        <f t="shared" si="27"/>
        <v>0</v>
      </c>
      <c r="AE90" s="443">
        <f t="shared" si="28"/>
        <v>0</v>
      </c>
      <c r="AF90" s="236">
        <f t="shared" si="28"/>
        <v>0</v>
      </c>
      <c r="AG90" s="442"/>
      <c r="AH90" s="236">
        <f t="shared" si="29"/>
        <v>0</v>
      </c>
      <c r="AI90" s="443">
        <f t="shared" si="30"/>
        <v>0</v>
      </c>
      <c r="AJ90" s="236">
        <f t="shared" si="30"/>
        <v>0</v>
      </c>
      <c r="AK90" s="442"/>
      <c r="AL90" s="236">
        <f t="shared" si="31"/>
        <v>0</v>
      </c>
      <c r="AM90" s="443">
        <f t="shared" si="34"/>
        <v>0</v>
      </c>
      <c r="AN90" s="236">
        <f t="shared" si="34"/>
        <v>0</v>
      </c>
      <c r="AO90" s="444"/>
      <c r="AP90" s="424">
        <f t="shared" si="33"/>
        <v>0</v>
      </c>
    </row>
    <row r="91" spans="1:42" ht="12.5">
      <c r="A91" s="435"/>
      <c r="B91" s="146"/>
      <c r="C91" s="181"/>
      <c r="D91" s="182"/>
      <c r="E91" s="187"/>
      <c r="F91" s="502"/>
      <c r="G91" s="242"/>
      <c r="H91" s="239"/>
      <c r="I91" s="442"/>
      <c r="J91" s="239"/>
      <c r="K91" s="442"/>
      <c r="L91" s="239"/>
      <c r="M91" s="442"/>
      <c r="N91" s="239"/>
      <c r="O91" s="442"/>
      <c r="P91" s="239"/>
      <c r="Q91" s="442"/>
      <c r="R91" s="239"/>
      <c r="S91" s="442"/>
      <c r="T91" s="236"/>
      <c r="U91" s="442"/>
      <c r="V91" s="239"/>
      <c r="W91" s="442"/>
      <c r="X91" s="236"/>
      <c r="Y91" s="442"/>
      <c r="Z91" s="239"/>
      <c r="AA91" s="443"/>
      <c r="AB91" s="236"/>
      <c r="AC91" s="442"/>
      <c r="AD91" s="236"/>
      <c r="AE91" s="443"/>
      <c r="AF91" s="236"/>
      <c r="AG91" s="442"/>
      <c r="AH91" s="236"/>
      <c r="AI91" s="443"/>
      <c r="AJ91" s="236"/>
      <c r="AK91" s="442"/>
      <c r="AL91" s="236"/>
      <c r="AM91" s="443"/>
      <c r="AN91" s="236"/>
      <c r="AO91" s="444"/>
      <c r="AP91" s="424"/>
    </row>
    <row r="92" spans="1:42" ht="12.5">
      <c r="A92" s="500"/>
      <c r="B92" s="190" t="s">
        <v>769</v>
      </c>
      <c r="C92" s="181"/>
      <c r="D92" s="182"/>
      <c r="E92" s="187"/>
      <c r="F92" s="501"/>
      <c r="G92" s="242"/>
      <c r="H92" s="239"/>
      <c r="I92" s="442"/>
      <c r="J92" s="239"/>
      <c r="K92" s="442"/>
      <c r="L92" s="239"/>
      <c r="M92" s="442"/>
      <c r="N92" s="239"/>
      <c r="O92" s="442"/>
      <c r="P92" s="239"/>
      <c r="Q92" s="442"/>
      <c r="R92" s="239"/>
      <c r="S92" s="442"/>
      <c r="T92" s="236">
        <f t="shared" si="24"/>
        <v>0</v>
      </c>
      <c r="U92" s="442"/>
      <c r="V92" s="239"/>
      <c r="W92" s="442"/>
      <c r="X92" s="236">
        <f t="shared" si="25"/>
        <v>0</v>
      </c>
      <c r="Y92" s="442"/>
      <c r="Z92" s="239"/>
      <c r="AA92" s="443">
        <f t="shared" si="26"/>
        <v>0</v>
      </c>
      <c r="AB92" s="236">
        <f t="shared" si="26"/>
        <v>0</v>
      </c>
      <c r="AC92" s="442"/>
      <c r="AD92" s="236">
        <f t="shared" si="27"/>
        <v>0</v>
      </c>
      <c r="AE92" s="443">
        <f t="shared" si="28"/>
        <v>0</v>
      </c>
      <c r="AF92" s="236">
        <f t="shared" si="28"/>
        <v>0</v>
      </c>
      <c r="AG92" s="442"/>
      <c r="AH92" s="236">
        <f t="shared" si="29"/>
        <v>0</v>
      </c>
      <c r="AI92" s="443">
        <f t="shared" si="30"/>
        <v>0</v>
      </c>
      <c r="AJ92" s="236">
        <f t="shared" si="30"/>
        <v>0</v>
      </c>
      <c r="AK92" s="442"/>
      <c r="AL92" s="236">
        <f t="shared" si="31"/>
        <v>0</v>
      </c>
      <c r="AM92" s="443">
        <f t="shared" si="34"/>
        <v>0</v>
      </c>
      <c r="AN92" s="236">
        <f t="shared" si="34"/>
        <v>0</v>
      </c>
      <c r="AO92" s="444"/>
      <c r="AP92" s="424">
        <f t="shared" si="33"/>
        <v>0</v>
      </c>
    </row>
    <row r="93" spans="1:42" ht="12.5">
      <c r="A93" s="435"/>
      <c r="B93" s="188"/>
      <c r="C93" s="181"/>
      <c r="D93" s="182"/>
      <c r="E93" s="187"/>
      <c r="F93" s="501"/>
      <c r="G93" s="242"/>
      <c r="H93" s="239"/>
      <c r="I93" s="442"/>
      <c r="J93" s="239"/>
      <c r="K93" s="442"/>
      <c r="L93" s="239"/>
      <c r="M93" s="442"/>
      <c r="N93" s="239"/>
      <c r="O93" s="442"/>
      <c r="P93" s="239"/>
      <c r="Q93" s="442"/>
      <c r="R93" s="239"/>
      <c r="S93" s="442"/>
      <c r="T93" s="236">
        <f t="shared" si="24"/>
        <v>0</v>
      </c>
      <c r="U93" s="442"/>
      <c r="V93" s="239"/>
      <c r="W93" s="442"/>
      <c r="X93" s="236">
        <f t="shared" si="25"/>
        <v>0</v>
      </c>
      <c r="Y93" s="442"/>
      <c r="Z93" s="239"/>
      <c r="AA93" s="443">
        <f t="shared" si="26"/>
        <v>0</v>
      </c>
      <c r="AB93" s="236">
        <f t="shared" si="26"/>
        <v>0</v>
      </c>
      <c r="AC93" s="442"/>
      <c r="AD93" s="236">
        <f t="shared" si="27"/>
        <v>0</v>
      </c>
      <c r="AE93" s="443">
        <f t="shared" si="28"/>
        <v>0</v>
      </c>
      <c r="AF93" s="236">
        <f t="shared" si="28"/>
        <v>0</v>
      </c>
      <c r="AG93" s="442"/>
      <c r="AH93" s="236">
        <f t="shared" si="29"/>
        <v>0</v>
      </c>
      <c r="AI93" s="443">
        <f t="shared" si="30"/>
        <v>0</v>
      </c>
      <c r="AJ93" s="236">
        <f t="shared" si="30"/>
        <v>0</v>
      </c>
      <c r="AK93" s="442"/>
      <c r="AL93" s="236">
        <f t="shared" si="31"/>
        <v>0</v>
      </c>
      <c r="AM93" s="443">
        <f t="shared" si="34"/>
        <v>0</v>
      </c>
      <c r="AN93" s="236">
        <f t="shared" si="34"/>
        <v>0</v>
      </c>
      <c r="AO93" s="444"/>
      <c r="AP93" s="424">
        <f t="shared" si="33"/>
        <v>0</v>
      </c>
    </row>
    <row r="94" spans="1:42" ht="12.5">
      <c r="A94" s="435" t="s">
        <v>578</v>
      </c>
      <c r="B94" s="146" t="s">
        <v>346</v>
      </c>
      <c r="C94" s="186" t="s">
        <v>10</v>
      </c>
      <c r="D94" s="182">
        <v>1</v>
      </c>
      <c r="E94" s="187">
        <v>4250</v>
      </c>
      <c r="F94" s="502">
        <f>D94*E94</f>
        <v>4250</v>
      </c>
      <c r="G94" s="242"/>
      <c r="H94" s="239"/>
      <c r="I94" s="442"/>
      <c r="J94" s="239"/>
      <c r="K94" s="442"/>
      <c r="L94" s="239"/>
      <c r="M94" s="442"/>
      <c r="N94" s="239"/>
      <c r="O94" s="442"/>
      <c r="P94" s="239"/>
      <c r="Q94" s="442"/>
      <c r="R94" s="239"/>
      <c r="S94" s="442"/>
      <c r="T94" s="236">
        <f t="shared" si="24"/>
        <v>0</v>
      </c>
      <c r="U94" s="442"/>
      <c r="V94" s="239"/>
      <c r="W94" s="442"/>
      <c r="X94" s="236">
        <f t="shared" si="25"/>
        <v>0</v>
      </c>
      <c r="Y94" s="442"/>
      <c r="Z94" s="239"/>
      <c r="AA94" s="443">
        <f t="shared" si="26"/>
        <v>0</v>
      </c>
      <c r="AB94" s="236">
        <f t="shared" si="26"/>
        <v>0</v>
      </c>
      <c r="AC94" s="442"/>
      <c r="AD94" s="236">
        <f t="shared" si="27"/>
        <v>0</v>
      </c>
      <c r="AE94" s="443">
        <f t="shared" si="28"/>
        <v>0</v>
      </c>
      <c r="AF94" s="236">
        <f t="shared" si="28"/>
        <v>0</v>
      </c>
      <c r="AG94" s="442"/>
      <c r="AH94" s="236">
        <f t="shared" si="29"/>
        <v>0</v>
      </c>
      <c r="AI94" s="443">
        <f t="shared" si="30"/>
        <v>0</v>
      </c>
      <c r="AJ94" s="236">
        <f t="shared" si="30"/>
        <v>0</v>
      </c>
      <c r="AK94" s="442"/>
      <c r="AL94" s="236">
        <f t="shared" si="31"/>
        <v>0</v>
      </c>
      <c r="AM94" s="443">
        <f t="shared" si="34"/>
        <v>0</v>
      </c>
      <c r="AN94" s="236">
        <f t="shared" si="34"/>
        <v>0</v>
      </c>
      <c r="AO94" s="444"/>
      <c r="AP94" s="424">
        <f t="shared" si="33"/>
        <v>0</v>
      </c>
    </row>
    <row r="95" spans="1:42" ht="12.5">
      <c r="A95" s="435"/>
      <c r="B95" s="146"/>
      <c r="C95" s="181"/>
      <c r="D95" s="182"/>
      <c r="E95" s="183"/>
      <c r="F95" s="504"/>
      <c r="G95" s="242"/>
      <c r="H95" s="239"/>
      <c r="I95" s="442"/>
      <c r="J95" s="239"/>
      <c r="K95" s="442"/>
      <c r="L95" s="239"/>
      <c r="M95" s="442"/>
      <c r="N95" s="239"/>
      <c r="O95" s="442"/>
      <c r="P95" s="239"/>
      <c r="Q95" s="442"/>
      <c r="R95" s="239"/>
      <c r="S95" s="442"/>
      <c r="T95" s="236">
        <f t="shared" si="24"/>
        <v>0</v>
      </c>
      <c r="U95" s="442"/>
      <c r="V95" s="239"/>
      <c r="W95" s="442"/>
      <c r="X95" s="236">
        <f t="shared" si="25"/>
        <v>0</v>
      </c>
      <c r="Y95" s="442"/>
      <c r="Z95" s="239"/>
      <c r="AA95" s="443">
        <f t="shared" si="26"/>
        <v>0</v>
      </c>
      <c r="AB95" s="236">
        <f t="shared" si="26"/>
        <v>0</v>
      </c>
      <c r="AC95" s="442"/>
      <c r="AD95" s="236">
        <f t="shared" si="27"/>
        <v>0</v>
      </c>
      <c r="AE95" s="443">
        <f t="shared" si="28"/>
        <v>0</v>
      </c>
      <c r="AF95" s="236">
        <f t="shared" si="28"/>
        <v>0</v>
      </c>
      <c r="AG95" s="442"/>
      <c r="AH95" s="236">
        <f t="shared" si="29"/>
        <v>0</v>
      </c>
      <c r="AI95" s="443">
        <f t="shared" si="30"/>
        <v>0</v>
      </c>
      <c r="AJ95" s="236">
        <f t="shared" si="30"/>
        <v>0</v>
      </c>
      <c r="AK95" s="442"/>
      <c r="AL95" s="236">
        <f t="shared" si="31"/>
        <v>0</v>
      </c>
      <c r="AM95" s="443">
        <f t="shared" si="34"/>
        <v>0</v>
      </c>
      <c r="AN95" s="236">
        <f t="shared" si="34"/>
        <v>0</v>
      </c>
      <c r="AO95" s="444"/>
      <c r="AP95" s="424">
        <f t="shared" si="33"/>
        <v>0</v>
      </c>
    </row>
    <row r="96" spans="1:42" ht="12.5">
      <c r="A96" s="500"/>
      <c r="B96" s="190" t="s">
        <v>770</v>
      </c>
      <c r="C96" s="181"/>
      <c r="D96" s="182"/>
      <c r="E96" s="187"/>
      <c r="F96" s="501"/>
      <c r="G96" s="242"/>
      <c r="H96" s="239"/>
      <c r="I96" s="442"/>
      <c r="J96" s="239"/>
      <c r="K96" s="442"/>
      <c r="L96" s="239"/>
      <c r="M96" s="442"/>
      <c r="N96" s="239"/>
      <c r="O96" s="442"/>
      <c r="P96" s="239"/>
      <c r="Q96" s="442"/>
      <c r="R96" s="239"/>
      <c r="S96" s="442"/>
      <c r="T96" s="236">
        <f t="shared" si="24"/>
        <v>0</v>
      </c>
      <c r="U96" s="442"/>
      <c r="V96" s="239"/>
      <c r="W96" s="442"/>
      <c r="X96" s="236">
        <f t="shared" si="25"/>
        <v>0</v>
      </c>
      <c r="Y96" s="442"/>
      <c r="Z96" s="239"/>
      <c r="AA96" s="443">
        <f t="shared" si="26"/>
        <v>0</v>
      </c>
      <c r="AB96" s="236">
        <f t="shared" si="26"/>
        <v>0</v>
      </c>
      <c r="AC96" s="442"/>
      <c r="AD96" s="236">
        <f t="shared" si="27"/>
        <v>0</v>
      </c>
      <c r="AE96" s="443">
        <f t="shared" si="28"/>
        <v>0</v>
      </c>
      <c r="AF96" s="236">
        <f t="shared" si="28"/>
        <v>0</v>
      </c>
      <c r="AG96" s="442"/>
      <c r="AH96" s="236">
        <f t="shared" si="29"/>
        <v>0</v>
      </c>
      <c r="AI96" s="443">
        <f t="shared" si="30"/>
        <v>0</v>
      </c>
      <c r="AJ96" s="236">
        <f t="shared" si="30"/>
        <v>0</v>
      </c>
      <c r="AK96" s="442"/>
      <c r="AL96" s="236">
        <f t="shared" si="31"/>
        <v>0</v>
      </c>
      <c r="AM96" s="443">
        <f t="shared" si="34"/>
        <v>0</v>
      </c>
      <c r="AN96" s="236">
        <f t="shared" si="34"/>
        <v>0</v>
      </c>
      <c r="AO96" s="444"/>
      <c r="AP96" s="424">
        <f t="shared" si="33"/>
        <v>0</v>
      </c>
    </row>
    <row r="97" spans="1:42" ht="12.5">
      <c r="A97" s="435"/>
      <c r="B97" s="188"/>
      <c r="C97" s="181"/>
      <c r="D97" s="182"/>
      <c r="E97" s="187"/>
      <c r="F97" s="501"/>
      <c r="G97" s="242"/>
      <c r="H97" s="239"/>
      <c r="I97" s="442"/>
      <c r="J97" s="239"/>
      <c r="K97" s="442"/>
      <c r="L97" s="239"/>
      <c r="M97" s="442"/>
      <c r="N97" s="239"/>
      <c r="O97" s="442"/>
      <c r="P97" s="239"/>
      <c r="Q97" s="442"/>
      <c r="R97" s="239"/>
      <c r="S97" s="442"/>
      <c r="T97" s="236">
        <f t="shared" si="24"/>
        <v>0</v>
      </c>
      <c r="U97" s="442"/>
      <c r="V97" s="239"/>
      <c r="W97" s="442"/>
      <c r="X97" s="236">
        <f t="shared" si="25"/>
        <v>0</v>
      </c>
      <c r="Y97" s="442"/>
      <c r="Z97" s="239"/>
      <c r="AA97" s="443">
        <f t="shared" si="26"/>
        <v>0</v>
      </c>
      <c r="AB97" s="236">
        <f t="shared" si="26"/>
        <v>0</v>
      </c>
      <c r="AC97" s="442"/>
      <c r="AD97" s="236">
        <f t="shared" si="27"/>
        <v>0</v>
      </c>
      <c r="AE97" s="443">
        <f t="shared" si="28"/>
        <v>0</v>
      </c>
      <c r="AF97" s="236">
        <f t="shared" si="28"/>
        <v>0</v>
      </c>
      <c r="AG97" s="442"/>
      <c r="AH97" s="236">
        <f t="shared" si="29"/>
        <v>0</v>
      </c>
      <c r="AI97" s="443">
        <f t="shared" si="30"/>
        <v>0</v>
      </c>
      <c r="AJ97" s="236">
        <f t="shared" si="30"/>
        <v>0</v>
      </c>
      <c r="AK97" s="442"/>
      <c r="AL97" s="236">
        <f t="shared" si="31"/>
        <v>0</v>
      </c>
      <c r="AM97" s="443">
        <f t="shared" si="34"/>
        <v>0</v>
      </c>
      <c r="AN97" s="236">
        <f t="shared" si="34"/>
        <v>0</v>
      </c>
      <c r="AO97" s="444"/>
      <c r="AP97" s="424">
        <f t="shared" si="33"/>
        <v>0</v>
      </c>
    </row>
    <row r="98" spans="1:42" ht="25">
      <c r="A98" s="435" t="s">
        <v>612</v>
      </c>
      <c r="B98" s="189" t="s">
        <v>349</v>
      </c>
      <c r="C98" s="186" t="s">
        <v>10</v>
      </c>
      <c r="D98" s="182">
        <v>1</v>
      </c>
      <c r="E98" s="187">
        <v>5085</v>
      </c>
      <c r="F98" s="502">
        <f>D98*E98</f>
        <v>5085</v>
      </c>
      <c r="G98" s="242"/>
      <c r="H98" s="239"/>
      <c r="I98" s="442"/>
      <c r="J98" s="239"/>
      <c r="K98" s="442"/>
      <c r="L98" s="239"/>
      <c r="M98" s="442"/>
      <c r="N98" s="239"/>
      <c r="O98" s="442"/>
      <c r="P98" s="239"/>
      <c r="Q98" s="442"/>
      <c r="R98" s="239"/>
      <c r="S98" s="442"/>
      <c r="T98" s="236">
        <f t="shared" si="24"/>
        <v>0</v>
      </c>
      <c r="U98" s="442"/>
      <c r="V98" s="239"/>
      <c r="W98" s="442"/>
      <c r="X98" s="236">
        <f t="shared" si="25"/>
        <v>0</v>
      </c>
      <c r="Y98" s="442"/>
      <c r="Z98" s="239"/>
      <c r="AA98" s="443">
        <f t="shared" si="26"/>
        <v>0</v>
      </c>
      <c r="AB98" s="236">
        <f t="shared" si="26"/>
        <v>0</v>
      </c>
      <c r="AC98" s="442"/>
      <c r="AD98" s="236">
        <f t="shared" si="27"/>
        <v>0</v>
      </c>
      <c r="AE98" s="443">
        <f t="shared" si="28"/>
        <v>0</v>
      </c>
      <c r="AF98" s="236">
        <f t="shared" si="28"/>
        <v>0</v>
      </c>
      <c r="AG98" s="442"/>
      <c r="AH98" s="236">
        <f t="shared" si="29"/>
        <v>0</v>
      </c>
      <c r="AI98" s="443">
        <f t="shared" si="30"/>
        <v>0</v>
      </c>
      <c r="AJ98" s="236">
        <f t="shared" si="30"/>
        <v>0</v>
      </c>
      <c r="AK98" s="442"/>
      <c r="AL98" s="236">
        <f t="shared" si="31"/>
        <v>0</v>
      </c>
      <c r="AM98" s="443">
        <f t="shared" si="34"/>
        <v>0</v>
      </c>
      <c r="AN98" s="236">
        <f t="shared" si="34"/>
        <v>0</v>
      </c>
      <c r="AO98" s="444"/>
      <c r="AP98" s="424">
        <f t="shared" si="33"/>
        <v>0</v>
      </c>
    </row>
    <row r="99" spans="1:42" ht="12.5">
      <c r="A99" s="435"/>
      <c r="B99" s="146"/>
      <c r="C99" s="181"/>
      <c r="D99" s="182"/>
      <c r="E99" s="187"/>
      <c r="F99" s="501"/>
      <c r="G99" s="242"/>
      <c r="H99" s="239"/>
      <c r="I99" s="442"/>
      <c r="J99" s="239"/>
      <c r="K99" s="442"/>
      <c r="L99" s="239"/>
      <c r="M99" s="442"/>
      <c r="N99" s="239"/>
      <c r="O99" s="442"/>
      <c r="P99" s="239"/>
      <c r="Q99" s="442"/>
      <c r="R99" s="239"/>
      <c r="S99" s="442"/>
      <c r="T99" s="236">
        <f t="shared" si="24"/>
        <v>0</v>
      </c>
      <c r="U99" s="442"/>
      <c r="V99" s="239"/>
      <c r="W99" s="442"/>
      <c r="X99" s="236">
        <f t="shared" si="25"/>
        <v>0</v>
      </c>
      <c r="Y99" s="442"/>
      <c r="Z99" s="239"/>
      <c r="AA99" s="443">
        <f t="shared" si="26"/>
        <v>0</v>
      </c>
      <c r="AB99" s="236">
        <f t="shared" si="26"/>
        <v>0</v>
      </c>
      <c r="AC99" s="442"/>
      <c r="AD99" s="236">
        <f t="shared" si="27"/>
        <v>0</v>
      </c>
      <c r="AE99" s="443">
        <f t="shared" si="28"/>
        <v>0</v>
      </c>
      <c r="AF99" s="236">
        <f t="shared" si="28"/>
        <v>0</v>
      </c>
      <c r="AG99" s="442"/>
      <c r="AH99" s="236">
        <f t="shared" si="29"/>
        <v>0</v>
      </c>
      <c r="AI99" s="443">
        <f t="shared" si="30"/>
        <v>0</v>
      </c>
      <c r="AJ99" s="236">
        <f t="shared" si="30"/>
        <v>0</v>
      </c>
      <c r="AK99" s="442"/>
      <c r="AL99" s="236">
        <f t="shared" si="31"/>
        <v>0</v>
      </c>
      <c r="AM99" s="443">
        <f t="shared" si="34"/>
        <v>0</v>
      </c>
      <c r="AN99" s="236">
        <f t="shared" si="34"/>
        <v>0</v>
      </c>
      <c r="AO99" s="444"/>
      <c r="AP99" s="424">
        <f t="shared" si="33"/>
        <v>0</v>
      </c>
    </row>
    <row r="100" spans="1:42" ht="25">
      <c r="A100" s="435" t="s">
        <v>614</v>
      </c>
      <c r="B100" s="189" t="s">
        <v>351</v>
      </c>
      <c r="C100" s="186" t="s">
        <v>10</v>
      </c>
      <c r="D100" s="182">
        <v>1</v>
      </c>
      <c r="E100" s="187">
        <v>30520</v>
      </c>
      <c r="F100" s="502">
        <f>D100*E100</f>
        <v>30520</v>
      </c>
      <c r="G100" s="242"/>
      <c r="H100" s="239"/>
      <c r="I100" s="442"/>
      <c r="J100" s="239"/>
      <c r="K100" s="442"/>
      <c r="L100" s="239"/>
      <c r="M100" s="442"/>
      <c r="N100" s="239"/>
      <c r="O100" s="442"/>
      <c r="P100" s="239"/>
      <c r="Q100" s="442"/>
      <c r="R100" s="239"/>
      <c r="S100" s="442"/>
      <c r="T100" s="236">
        <f>R100+P100</f>
        <v>0</v>
      </c>
      <c r="U100" s="442"/>
      <c r="V100" s="239"/>
      <c r="W100" s="442"/>
      <c r="X100" s="236">
        <f>V100+T100</f>
        <v>0</v>
      </c>
      <c r="Y100" s="442"/>
      <c r="Z100" s="239"/>
      <c r="AA100" s="443">
        <f>Y100+W100</f>
        <v>0</v>
      </c>
      <c r="AB100" s="236">
        <f>Z100+X100</f>
        <v>0</v>
      </c>
      <c r="AC100" s="442"/>
      <c r="AD100" s="236">
        <f>AC100*E100</f>
        <v>0</v>
      </c>
      <c r="AE100" s="443">
        <f>AC100+AA100</f>
        <v>0</v>
      </c>
      <c r="AF100" s="236">
        <f>AD100+AB100</f>
        <v>0</v>
      </c>
      <c r="AG100" s="442"/>
      <c r="AH100" s="236">
        <f>AG100*E100</f>
        <v>0</v>
      </c>
      <c r="AI100" s="443">
        <f>AG100+AE100</f>
        <v>0</v>
      </c>
      <c r="AJ100" s="236">
        <f>AH100+AF100</f>
        <v>0</v>
      </c>
      <c r="AK100" s="442"/>
      <c r="AL100" s="236">
        <f>AK100*E100</f>
        <v>0</v>
      </c>
      <c r="AM100" s="443">
        <f>AK100+AI100</f>
        <v>0</v>
      </c>
      <c r="AN100" s="236">
        <f>AL100+AJ100</f>
        <v>0</v>
      </c>
      <c r="AO100" s="444"/>
      <c r="AP100" s="424">
        <f>AO100*E100</f>
        <v>0</v>
      </c>
    </row>
    <row r="101" spans="1:42" s="408" customFormat="1" ht="12.5">
      <c r="A101" s="505"/>
      <c r="B101" s="195"/>
      <c r="C101" s="196"/>
      <c r="D101" s="182"/>
      <c r="E101" s="187"/>
      <c r="F101" s="502"/>
      <c r="G101" s="244"/>
      <c r="H101" s="239"/>
      <c r="I101" s="441"/>
      <c r="J101" s="239"/>
      <c r="K101" s="441"/>
      <c r="L101" s="239"/>
      <c r="M101" s="441"/>
      <c r="N101" s="239"/>
      <c r="O101" s="441"/>
      <c r="P101" s="239"/>
      <c r="Q101" s="441"/>
      <c r="R101" s="239"/>
      <c r="S101" s="441"/>
      <c r="T101" s="239"/>
      <c r="U101" s="441"/>
      <c r="V101" s="239"/>
      <c r="W101" s="441"/>
      <c r="X101" s="239"/>
      <c r="Y101" s="441"/>
      <c r="Z101" s="239"/>
      <c r="AA101" s="441"/>
      <c r="AB101" s="239"/>
      <c r="AC101" s="441"/>
      <c r="AD101" s="239"/>
      <c r="AE101" s="441"/>
      <c r="AF101" s="239"/>
      <c r="AG101" s="441"/>
      <c r="AH101" s="239"/>
      <c r="AI101" s="441"/>
      <c r="AJ101" s="239"/>
      <c r="AK101" s="441"/>
      <c r="AL101" s="239"/>
      <c r="AM101" s="441"/>
      <c r="AN101" s="239"/>
      <c r="AO101" s="441"/>
      <c r="AP101" s="425"/>
    </row>
    <row r="102" spans="1:42" ht="25">
      <c r="A102" s="435" t="s">
        <v>771</v>
      </c>
      <c r="B102" s="189" t="s">
        <v>353</v>
      </c>
      <c r="C102" s="186" t="s">
        <v>10</v>
      </c>
      <c r="D102" s="182">
        <v>1</v>
      </c>
      <c r="E102" s="187">
        <v>16250</v>
      </c>
      <c r="F102" s="502">
        <f>D102*E102</f>
        <v>16250</v>
      </c>
      <c r="G102" s="242"/>
      <c r="H102" s="239"/>
      <c r="I102" s="442"/>
      <c r="J102" s="239"/>
      <c r="K102" s="442"/>
      <c r="L102" s="239"/>
      <c r="M102" s="442"/>
      <c r="N102" s="239"/>
      <c r="O102" s="442"/>
      <c r="P102" s="239"/>
      <c r="Q102" s="442"/>
      <c r="R102" s="239"/>
      <c r="S102" s="442"/>
      <c r="T102" s="236">
        <f>R102+P102</f>
        <v>0</v>
      </c>
      <c r="U102" s="442"/>
      <c r="V102" s="239"/>
      <c r="W102" s="442"/>
      <c r="X102" s="236">
        <f>V102+T102</f>
        <v>0</v>
      </c>
      <c r="Y102" s="442"/>
      <c r="Z102" s="239"/>
      <c r="AA102" s="443">
        <f>Y102+W102</f>
        <v>0</v>
      </c>
      <c r="AB102" s="236">
        <f>Z102+X102</f>
        <v>0</v>
      </c>
      <c r="AC102" s="442"/>
      <c r="AD102" s="236">
        <f>AC102*E102</f>
        <v>0</v>
      </c>
      <c r="AE102" s="443">
        <f>AC102+AA102</f>
        <v>0</v>
      </c>
      <c r="AF102" s="236">
        <f>AD102+AB102</f>
        <v>0</v>
      </c>
      <c r="AG102" s="442"/>
      <c r="AH102" s="236">
        <f>AG102*E102</f>
        <v>0</v>
      </c>
      <c r="AI102" s="443">
        <f>AG102+AE102</f>
        <v>0</v>
      </c>
      <c r="AJ102" s="236">
        <f>AH102+AF102</f>
        <v>0</v>
      </c>
      <c r="AK102" s="442"/>
      <c r="AL102" s="236">
        <f>AK102*E102</f>
        <v>0</v>
      </c>
      <c r="AM102" s="443">
        <f>AK102+AI102</f>
        <v>0</v>
      </c>
      <c r="AN102" s="236">
        <f>AL102+AJ102</f>
        <v>0</v>
      </c>
      <c r="AO102" s="444"/>
      <c r="AP102" s="424">
        <f>AO102*E102</f>
        <v>0</v>
      </c>
    </row>
    <row r="103" spans="1:42" ht="13" thickBot="1">
      <c r="A103" s="490"/>
      <c r="B103" s="28"/>
      <c r="C103" s="186"/>
      <c r="D103" s="472"/>
      <c r="E103" s="473"/>
      <c r="F103" s="489"/>
      <c r="G103" s="419"/>
      <c r="H103" s="418"/>
      <c r="I103" s="445"/>
      <c r="J103" s="418"/>
      <c r="K103" s="445"/>
      <c r="L103" s="418"/>
      <c r="M103" s="445"/>
      <c r="N103" s="418"/>
      <c r="O103" s="445"/>
      <c r="P103" s="418"/>
      <c r="Q103" s="445"/>
      <c r="R103" s="418"/>
      <c r="S103" s="445"/>
      <c r="T103" s="416"/>
      <c r="U103" s="445"/>
      <c r="V103" s="418"/>
      <c r="W103" s="445"/>
      <c r="X103" s="416"/>
      <c r="Y103" s="445"/>
      <c r="Z103" s="418"/>
      <c r="AA103" s="446"/>
      <c r="AB103" s="416"/>
      <c r="AC103" s="445"/>
      <c r="AD103" s="416"/>
      <c r="AE103" s="446"/>
      <c r="AF103" s="416"/>
      <c r="AG103" s="445"/>
      <c r="AH103" s="416"/>
      <c r="AI103" s="446"/>
      <c r="AJ103" s="416"/>
      <c r="AK103" s="445"/>
      <c r="AL103" s="416"/>
      <c r="AM103" s="446"/>
      <c r="AN103" s="416"/>
      <c r="AO103" s="447"/>
      <c r="AP103" s="423"/>
    </row>
    <row r="104" spans="1:42" s="19" customFormat="1" ht="13.5" thickTop="1">
      <c r="A104" s="35"/>
      <c r="B104" s="36"/>
      <c r="C104" s="92"/>
      <c r="D104" s="37"/>
      <c r="E104" s="93"/>
      <c r="F104" s="47"/>
      <c r="AP104" s="421"/>
    </row>
    <row r="105" spans="1:42" s="19" customFormat="1" ht="12.75" customHeight="1">
      <c r="A105" s="1554" t="s">
        <v>901</v>
      </c>
      <c r="B105" s="1555"/>
      <c r="C105" s="1555"/>
      <c r="D105" s="1555"/>
      <c r="E105" s="1556"/>
      <c r="F105" s="409">
        <f>SUM(F53:F103)</f>
        <v>1117580</v>
      </c>
      <c r="AP105" s="421"/>
    </row>
    <row r="106" spans="1:42" s="19" customFormat="1" ht="15" customHeight="1" thickBot="1">
      <c r="A106" s="38"/>
      <c r="B106" s="39"/>
      <c r="C106" s="94"/>
      <c r="D106" s="40"/>
      <c r="E106" s="95"/>
      <c r="F106" s="48"/>
      <c r="AP106" s="421"/>
    </row>
    <row r="107" spans="1:42" s="19" customFormat="1" ht="13" thickTop="1">
      <c r="A107" s="137"/>
      <c r="B107" s="43"/>
      <c r="C107" s="137"/>
      <c r="D107" s="401"/>
      <c r="E107" s="402"/>
      <c r="F107" s="403"/>
      <c r="AP107" s="421"/>
    </row>
    <row r="108" spans="1:42" s="19" customFormat="1" ht="12.75" customHeight="1">
      <c r="A108" s="1548" t="s">
        <v>741</v>
      </c>
      <c r="B108" s="1548"/>
      <c r="C108" s="1548"/>
      <c r="D108" s="1548"/>
      <c r="E108" s="1548"/>
      <c r="F108" s="1548"/>
      <c r="AP108" s="421"/>
    </row>
    <row r="109" spans="1:42" s="19" customFormat="1" ht="13" thickBot="1">
      <c r="A109" s="121"/>
      <c r="B109" s="404"/>
      <c r="C109" s="405"/>
      <c r="D109" s="406"/>
      <c r="E109" s="45"/>
      <c r="F109" s="407"/>
      <c r="AP109" s="421"/>
    </row>
    <row r="110" spans="1:42" s="19" customFormat="1" ht="27" thickTop="1" thickBot="1">
      <c r="A110" s="2" t="s">
        <v>21</v>
      </c>
      <c r="B110" s="53" t="s">
        <v>5</v>
      </c>
      <c r="C110" s="29" t="s">
        <v>6</v>
      </c>
      <c r="D110" s="30" t="s">
        <v>1</v>
      </c>
      <c r="E110" s="31" t="s">
        <v>7</v>
      </c>
      <c r="F110" s="50" t="s">
        <v>8</v>
      </c>
      <c r="AP110" s="421"/>
    </row>
    <row r="111" spans="1:42" ht="13" thickTop="1">
      <c r="A111" s="435"/>
      <c r="B111" s="188"/>
      <c r="C111" s="181"/>
      <c r="D111" s="182">
        <v>0</v>
      </c>
      <c r="E111" s="187"/>
      <c r="F111" s="501"/>
      <c r="G111" s="242"/>
      <c r="H111" s="239"/>
      <c r="I111" s="442"/>
      <c r="J111" s="239"/>
      <c r="K111" s="442"/>
      <c r="L111" s="239"/>
      <c r="M111" s="442"/>
      <c r="N111" s="239"/>
      <c r="O111" s="442"/>
      <c r="P111" s="239"/>
      <c r="Q111" s="442"/>
      <c r="R111" s="239"/>
      <c r="S111" s="442"/>
      <c r="T111" s="236">
        <f>R111+P111</f>
        <v>0</v>
      </c>
      <c r="U111" s="442"/>
      <c r="V111" s="239"/>
      <c r="W111" s="442"/>
      <c r="X111" s="236">
        <f>V111+T111</f>
        <v>0</v>
      </c>
      <c r="Y111" s="442"/>
      <c r="Z111" s="239"/>
      <c r="AA111" s="443">
        <f>Y111+W111</f>
        <v>0</v>
      </c>
      <c r="AB111" s="236">
        <f>Z111+X111</f>
        <v>0</v>
      </c>
      <c r="AC111" s="442"/>
      <c r="AD111" s="236">
        <f>AC111*E111</f>
        <v>0</v>
      </c>
      <c r="AE111" s="443">
        <f>AC111+AA111</f>
        <v>0</v>
      </c>
      <c r="AF111" s="236">
        <f>AD111+AB111</f>
        <v>0</v>
      </c>
      <c r="AG111" s="442"/>
      <c r="AH111" s="236">
        <f>AG111*E111</f>
        <v>0</v>
      </c>
      <c r="AI111" s="443">
        <f>AG111+AE111</f>
        <v>0</v>
      </c>
      <c r="AJ111" s="236">
        <f>AH111+AF111</f>
        <v>0</v>
      </c>
      <c r="AK111" s="442"/>
      <c r="AL111" s="236">
        <f>AK111*E111</f>
        <v>0</v>
      </c>
      <c r="AM111" s="443">
        <f>AK111+AI111</f>
        <v>0</v>
      </c>
      <c r="AN111" s="236">
        <f>AL111+AJ111</f>
        <v>0</v>
      </c>
      <c r="AO111" s="444"/>
      <c r="AP111" s="424">
        <f>AO111*E111</f>
        <v>0</v>
      </c>
    </row>
    <row r="112" spans="1:42" ht="25">
      <c r="A112" s="435" t="s">
        <v>772</v>
      </c>
      <c r="B112" s="189" t="s">
        <v>355</v>
      </c>
      <c r="C112" s="186" t="s">
        <v>10</v>
      </c>
      <c r="D112" s="182">
        <v>1</v>
      </c>
      <c r="E112" s="187">
        <v>3450</v>
      </c>
      <c r="F112" s="502">
        <f>D112*E112</f>
        <v>3450</v>
      </c>
      <c r="G112" s="242"/>
      <c r="H112" s="239"/>
      <c r="I112" s="442"/>
      <c r="J112" s="239"/>
      <c r="K112" s="442"/>
      <c r="L112" s="239"/>
      <c r="M112" s="442"/>
      <c r="N112" s="239"/>
      <c r="O112" s="442"/>
      <c r="P112" s="239"/>
      <c r="Q112" s="442"/>
      <c r="R112" s="239"/>
      <c r="S112" s="442"/>
      <c r="T112" s="236"/>
      <c r="U112" s="442"/>
      <c r="V112" s="239"/>
      <c r="W112" s="442"/>
      <c r="X112" s="236"/>
      <c r="Y112" s="442"/>
      <c r="Z112" s="239"/>
      <c r="AA112" s="443"/>
      <c r="AB112" s="236"/>
      <c r="AC112" s="442"/>
      <c r="AD112" s="236"/>
      <c r="AE112" s="443"/>
      <c r="AF112" s="236"/>
      <c r="AG112" s="442"/>
      <c r="AH112" s="236"/>
      <c r="AI112" s="443"/>
      <c r="AJ112" s="236"/>
      <c r="AK112" s="442"/>
      <c r="AL112" s="236"/>
      <c r="AM112" s="443"/>
      <c r="AN112" s="236"/>
      <c r="AO112" s="444"/>
      <c r="AP112" s="424"/>
    </row>
    <row r="113" spans="1:42" ht="12.5">
      <c r="A113" s="435"/>
      <c r="B113" s="189"/>
      <c r="C113" s="186"/>
      <c r="D113" s="182"/>
      <c r="E113" s="187"/>
      <c r="F113" s="502"/>
      <c r="G113" s="242"/>
      <c r="H113" s="239"/>
      <c r="I113" s="238"/>
      <c r="J113" s="239"/>
      <c r="K113" s="238"/>
      <c r="L113" s="239"/>
      <c r="M113" s="238"/>
      <c r="N113" s="239"/>
      <c r="O113" s="238"/>
      <c r="P113" s="239"/>
      <c r="Q113" s="238"/>
      <c r="R113" s="239"/>
      <c r="S113" s="238"/>
      <c r="T113" s="236"/>
      <c r="U113" s="238"/>
      <c r="V113" s="239"/>
      <c r="W113" s="238"/>
      <c r="X113" s="236"/>
      <c r="Y113" s="238"/>
      <c r="Z113" s="239"/>
      <c r="AA113" s="237"/>
      <c r="AB113" s="236"/>
      <c r="AC113" s="238"/>
      <c r="AD113" s="236"/>
      <c r="AE113" s="237"/>
      <c r="AF113" s="236"/>
      <c r="AG113" s="238"/>
      <c r="AH113" s="236"/>
      <c r="AI113" s="237"/>
      <c r="AJ113" s="236"/>
      <c r="AK113" s="238"/>
      <c r="AL113" s="236"/>
      <c r="AM113" s="237"/>
      <c r="AN113" s="236"/>
      <c r="AO113" s="240"/>
      <c r="AP113" s="424"/>
    </row>
    <row r="114" spans="1:42" ht="12.5">
      <c r="A114" s="500"/>
      <c r="B114" s="190" t="s">
        <v>773</v>
      </c>
      <c r="C114" s="181"/>
      <c r="D114" s="182"/>
      <c r="E114" s="183"/>
      <c r="F114" s="504"/>
      <c r="G114" s="242"/>
      <c r="H114" s="239"/>
      <c r="I114" s="442"/>
      <c r="J114" s="239"/>
      <c r="K114" s="442"/>
      <c r="L114" s="239"/>
      <c r="M114" s="442"/>
      <c r="N114" s="239"/>
      <c r="O114" s="442"/>
      <c r="P114" s="239"/>
      <c r="Q114" s="442"/>
      <c r="R114" s="239"/>
      <c r="S114" s="442"/>
      <c r="T114" s="236"/>
      <c r="U114" s="442"/>
      <c r="V114" s="239"/>
      <c r="W114" s="442"/>
      <c r="X114" s="236"/>
      <c r="Y114" s="442"/>
      <c r="Z114" s="239"/>
      <c r="AA114" s="443"/>
      <c r="AB114" s="236"/>
      <c r="AC114" s="442"/>
      <c r="AD114" s="236"/>
      <c r="AE114" s="443"/>
      <c r="AF114" s="236"/>
      <c r="AG114" s="442"/>
      <c r="AH114" s="236"/>
      <c r="AI114" s="443"/>
      <c r="AJ114" s="236"/>
      <c r="AK114" s="442"/>
      <c r="AL114" s="236"/>
      <c r="AM114" s="443"/>
      <c r="AN114" s="236"/>
      <c r="AO114" s="444"/>
      <c r="AP114" s="424"/>
    </row>
    <row r="115" spans="1:42" ht="12.5">
      <c r="A115" s="435"/>
      <c r="B115" s="188"/>
      <c r="C115" s="181"/>
      <c r="D115" s="182">
        <v>0</v>
      </c>
      <c r="E115" s="187"/>
      <c r="F115" s="501"/>
      <c r="G115" s="242"/>
      <c r="H115" s="239"/>
      <c r="I115" s="442"/>
      <c r="J115" s="239"/>
      <c r="K115" s="442"/>
      <c r="L115" s="239"/>
      <c r="M115" s="442"/>
      <c r="N115" s="239"/>
      <c r="O115" s="442"/>
      <c r="P115" s="239"/>
      <c r="Q115" s="442"/>
      <c r="R115" s="239"/>
      <c r="S115" s="442"/>
      <c r="T115" s="236">
        <f t="shared" ref="T115:T122" si="35">R115+P115</f>
        <v>0</v>
      </c>
      <c r="U115" s="442"/>
      <c r="V115" s="239"/>
      <c r="W115" s="442"/>
      <c r="X115" s="236">
        <f t="shared" ref="X115:X122" si="36">V115+T115</f>
        <v>0</v>
      </c>
      <c r="Y115" s="442"/>
      <c r="Z115" s="239"/>
      <c r="AA115" s="443">
        <f>Y115+W115</f>
        <v>0</v>
      </c>
      <c r="AB115" s="236">
        <f>Z115+X115</f>
        <v>0</v>
      </c>
      <c r="AC115" s="442"/>
      <c r="AD115" s="236">
        <f t="shared" ref="AD115:AD122" si="37">AC115*E115</f>
        <v>0</v>
      </c>
      <c r="AE115" s="443">
        <f>AC115+AA115</f>
        <v>0</v>
      </c>
      <c r="AF115" s="236">
        <f>AD115+AB115</f>
        <v>0</v>
      </c>
      <c r="AG115" s="442"/>
      <c r="AH115" s="236">
        <f t="shared" ref="AH115:AH122" si="38">AG115*E115</f>
        <v>0</v>
      </c>
      <c r="AI115" s="443">
        <f>AG115+AE115</f>
        <v>0</v>
      </c>
      <c r="AJ115" s="236">
        <f>AH115+AF115</f>
        <v>0</v>
      </c>
      <c r="AK115" s="442"/>
      <c r="AL115" s="236">
        <f t="shared" ref="AL115:AL122" si="39">AK115*E115</f>
        <v>0</v>
      </c>
      <c r="AM115" s="443">
        <f>AK115+AI115</f>
        <v>0</v>
      </c>
      <c r="AN115" s="236">
        <f>AL115+AJ115</f>
        <v>0</v>
      </c>
      <c r="AO115" s="444"/>
      <c r="AP115" s="424">
        <f t="shared" ref="AP115:AP122" si="40">AO115*E115</f>
        <v>0</v>
      </c>
    </row>
    <row r="116" spans="1:42" ht="25">
      <c r="A116" s="435" t="s">
        <v>568</v>
      </c>
      <c r="B116" s="146" t="s">
        <v>358</v>
      </c>
      <c r="C116" s="186" t="s">
        <v>10</v>
      </c>
      <c r="D116" s="182">
        <v>1</v>
      </c>
      <c r="E116" s="187">
        <v>42000</v>
      </c>
      <c r="F116" s="502">
        <f>D116*E116</f>
        <v>42000</v>
      </c>
      <c r="G116" s="242"/>
      <c r="H116" s="239"/>
      <c r="I116" s="442"/>
      <c r="J116" s="239"/>
      <c r="K116" s="442"/>
      <c r="L116" s="239"/>
      <c r="M116" s="442"/>
      <c r="N116" s="239"/>
      <c r="O116" s="442"/>
      <c r="P116" s="239"/>
      <c r="Q116" s="442"/>
      <c r="R116" s="239"/>
      <c r="S116" s="442"/>
      <c r="T116" s="236">
        <f t="shared" si="35"/>
        <v>0</v>
      </c>
      <c r="U116" s="442"/>
      <c r="V116" s="239"/>
      <c r="W116" s="442"/>
      <c r="X116" s="236">
        <f t="shared" si="36"/>
        <v>0</v>
      </c>
      <c r="Y116" s="442"/>
      <c r="Z116" s="239"/>
      <c r="AA116" s="443">
        <f t="shared" ref="AA116:AB118" si="41">Y116+W116</f>
        <v>0</v>
      </c>
      <c r="AB116" s="236">
        <f t="shared" si="41"/>
        <v>0</v>
      </c>
      <c r="AC116" s="442"/>
      <c r="AD116" s="236">
        <f t="shared" si="37"/>
        <v>0</v>
      </c>
      <c r="AE116" s="443">
        <f t="shared" ref="AE116:AF118" si="42">AC116+AA116</f>
        <v>0</v>
      </c>
      <c r="AF116" s="236">
        <f t="shared" si="42"/>
        <v>0</v>
      </c>
      <c r="AG116" s="442"/>
      <c r="AH116" s="236">
        <f t="shared" si="38"/>
        <v>0</v>
      </c>
      <c r="AI116" s="443">
        <f t="shared" ref="AI116:AJ118" si="43">AG116+AE116</f>
        <v>0</v>
      </c>
      <c r="AJ116" s="236">
        <f t="shared" si="43"/>
        <v>0</v>
      </c>
      <c r="AK116" s="442"/>
      <c r="AL116" s="236">
        <f t="shared" si="39"/>
        <v>0</v>
      </c>
      <c r="AM116" s="443">
        <f t="shared" ref="AM116:AN118" si="44">AK116+AI116</f>
        <v>0</v>
      </c>
      <c r="AN116" s="236">
        <f t="shared" si="44"/>
        <v>0</v>
      </c>
      <c r="AO116" s="444"/>
      <c r="AP116" s="424">
        <f t="shared" si="40"/>
        <v>0</v>
      </c>
    </row>
    <row r="117" spans="1:42" ht="12.5">
      <c r="A117" s="435"/>
      <c r="B117" s="188"/>
      <c r="C117" s="181"/>
      <c r="D117" s="182">
        <v>0</v>
      </c>
      <c r="E117" s="183"/>
      <c r="F117" s="504"/>
      <c r="G117" s="242"/>
      <c r="H117" s="239"/>
      <c r="I117" s="442"/>
      <c r="J117" s="239"/>
      <c r="K117" s="442"/>
      <c r="L117" s="239"/>
      <c r="M117" s="442"/>
      <c r="N117" s="239"/>
      <c r="O117" s="442"/>
      <c r="P117" s="239"/>
      <c r="Q117" s="442"/>
      <c r="R117" s="239"/>
      <c r="S117" s="442"/>
      <c r="T117" s="236">
        <f t="shared" si="35"/>
        <v>0</v>
      </c>
      <c r="U117" s="442"/>
      <c r="V117" s="239"/>
      <c r="W117" s="442"/>
      <c r="X117" s="236">
        <f t="shared" si="36"/>
        <v>0</v>
      </c>
      <c r="Y117" s="442"/>
      <c r="Z117" s="239"/>
      <c r="AA117" s="443">
        <f t="shared" si="41"/>
        <v>0</v>
      </c>
      <c r="AB117" s="236">
        <f t="shared" si="41"/>
        <v>0</v>
      </c>
      <c r="AC117" s="442"/>
      <c r="AD117" s="236">
        <f t="shared" si="37"/>
        <v>0</v>
      </c>
      <c r="AE117" s="443">
        <f t="shared" si="42"/>
        <v>0</v>
      </c>
      <c r="AF117" s="236">
        <f t="shared" si="42"/>
        <v>0</v>
      </c>
      <c r="AG117" s="442"/>
      <c r="AH117" s="236">
        <f t="shared" si="38"/>
        <v>0</v>
      </c>
      <c r="AI117" s="443">
        <f t="shared" si="43"/>
        <v>0</v>
      </c>
      <c r="AJ117" s="236">
        <f t="shared" si="43"/>
        <v>0</v>
      </c>
      <c r="AK117" s="442"/>
      <c r="AL117" s="236">
        <f t="shared" si="39"/>
        <v>0</v>
      </c>
      <c r="AM117" s="443">
        <f t="shared" si="44"/>
        <v>0</v>
      </c>
      <c r="AN117" s="236">
        <f t="shared" si="44"/>
        <v>0</v>
      </c>
      <c r="AO117" s="444"/>
      <c r="AP117" s="424">
        <f t="shared" si="40"/>
        <v>0</v>
      </c>
    </row>
    <row r="118" spans="1:42" ht="25">
      <c r="A118" s="435" t="s">
        <v>570</v>
      </c>
      <c r="B118" s="146" t="s">
        <v>360</v>
      </c>
      <c r="C118" s="186" t="s">
        <v>10</v>
      </c>
      <c r="D118" s="182">
        <v>1</v>
      </c>
      <c r="E118" s="187">
        <v>45000</v>
      </c>
      <c r="F118" s="502">
        <f>D118*E118</f>
        <v>45000</v>
      </c>
      <c r="G118" s="242"/>
      <c r="H118" s="239"/>
      <c r="I118" s="442"/>
      <c r="J118" s="239"/>
      <c r="K118" s="442"/>
      <c r="L118" s="239"/>
      <c r="M118" s="442"/>
      <c r="N118" s="239"/>
      <c r="O118" s="442"/>
      <c r="P118" s="239"/>
      <c r="Q118" s="442"/>
      <c r="R118" s="239"/>
      <c r="S118" s="442"/>
      <c r="T118" s="236">
        <f t="shared" si="35"/>
        <v>0</v>
      </c>
      <c r="U118" s="442"/>
      <c r="V118" s="239"/>
      <c r="W118" s="442"/>
      <c r="X118" s="236">
        <f t="shared" si="36"/>
        <v>0</v>
      </c>
      <c r="Y118" s="442"/>
      <c r="Z118" s="239"/>
      <c r="AA118" s="443">
        <f t="shared" si="41"/>
        <v>0</v>
      </c>
      <c r="AB118" s="236">
        <f t="shared" si="41"/>
        <v>0</v>
      </c>
      <c r="AC118" s="442"/>
      <c r="AD118" s="236">
        <f t="shared" si="37"/>
        <v>0</v>
      </c>
      <c r="AE118" s="443">
        <f t="shared" si="42"/>
        <v>0</v>
      </c>
      <c r="AF118" s="236">
        <f t="shared" si="42"/>
        <v>0</v>
      </c>
      <c r="AG118" s="442"/>
      <c r="AH118" s="236">
        <f t="shared" si="38"/>
        <v>0</v>
      </c>
      <c r="AI118" s="443">
        <f t="shared" si="43"/>
        <v>0</v>
      </c>
      <c r="AJ118" s="236">
        <f t="shared" si="43"/>
        <v>0</v>
      </c>
      <c r="AK118" s="442"/>
      <c r="AL118" s="236">
        <f t="shared" si="39"/>
        <v>0</v>
      </c>
      <c r="AM118" s="443">
        <f t="shared" si="44"/>
        <v>0</v>
      </c>
      <c r="AN118" s="236">
        <f t="shared" si="44"/>
        <v>0</v>
      </c>
      <c r="AO118" s="444"/>
      <c r="AP118" s="424">
        <f t="shared" si="40"/>
        <v>0</v>
      </c>
    </row>
    <row r="119" spans="1:42" ht="12.5">
      <c r="A119" s="435"/>
      <c r="B119" s="146"/>
      <c r="C119" s="181"/>
      <c r="D119" s="182">
        <v>0</v>
      </c>
      <c r="E119" s="183"/>
      <c r="F119" s="504"/>
      <c r="G119" s="242"/>
      <c r="H119" s="239"/>
      <c r="I119" s="442"/>
      <c r="J119" s="239"/>
      <c r="K119" s="442"/>
      <c r="L119" s="239"/>
      <c r="M119" s="442"/>
      <c r="N119" s="239"/>
      <c r="O119" s="442"/>
      <c r="P119" s="239"/>
      <c r="Q119" s="442"/>
      <c r="R119" s="239"/>
      <c r="S119" s="442"/>
      <c r="T119" s="236">
        <f t="shared" si="35"/>
        <v>0</v>
      </c>
      <c r="U119" s="442"/>
      <c r="V119" s="239"/>
      <c r="W119" s="442"/>
      <c r="X119" s="236">
        <f t="shared" si="36"/>
        <v>0</v>
      </c>
      <c r="Y119" s="442"/>
      <c r="Z119" s="239"/>
      <c r="AA119" s="443">
        <f>Y119+W119</f>
        <v>0</v>
      </c>
      <c r="AB119" s="236">
        <f>Z119+X119</f>
        <v>0</v>
      </c>
      <c r="AC119" s="442"/>
      <c r="AD119" s="236">
        <f t="shared" si="37"/>
        <v>0</v>
      </c>
      <c r="AE119" s="443">
        <f>AC119+AA119</f>
        <v>0</v>
      </c>
      <c r="AF119" s="236">
        <f>AD119+AB119</f>
        <v>0</v>
      </c>
      <c r="AG119" s="442"/>
      <c r="AH119" s="236">
        <f t="shared" si="38"/>
        <v>0</v>
      </c>
      <c r="AI119" s="443">
        <f>AG119+AE119</f>
        <v>0</v>
      </c>
      <c r="AJ119" s="236">
        <f>AH119+AF119</f>
        <v>0</v>
      </c>
      <c r="AK119" s="442"/>
      <c r="AL119" s="236">
        <f t="shared" si="39"/>
        <v>0</v>
      </c>
      <c r="AM119" s="443">
        <f>AK119+AI119</f>
        <v>0</v>
      </c>
      <c r="AN119" s="236">
        <f>AL119+AJ119</f>
        <v>0</v>
      </c>
      <c r="AO119" s="444"/>
      <c r="AP119" s="424">
        <f t="shared" si="40"/>
        <v>0</v>
      </c>
    </row>
    <row r="120" spans="1:42" ht="12.5">
      <c r="A120" s="500"/>
      <c r="B120" s="190" t="s">
        <v>774</v>
      </c>
      <c r="C120" s="181"/>
      <c r="D120" s="182">
        <v>0</v>
      </c>
      <c r="E120" s="183"/>
      <c r="F120" s="504"/>
      <c r="G120" s="242"/>
      <c r="H120" s="239"/>
      <c r="I120" s="442"/>
      <c r="J120" s="239"/>
      <c r="K120" s="442"/>
      <c r="L120" s="239"/>
      <c r="M120" s="442"/>
      <c r="N120" s="239"/>
      <c r="O120" s="442"/>
      <c r="P120" s="239"/>
      <c r="Q120" s="442"/>
      <c r="R120" s="239"/>
      <c r="S120" s="442"/>
      <c r="T120" s="236">
        <f t="shared" si="35"/>
        <v>0</v>
      </c>
      <c r="U120" s="442"/>
      <c r="V120" s="239"/>
      <c r="W120" s="442"/>
      <c r="X120" s="236">
        <f t="shared" si="36"/>
        <v>0</v>
      </c>
      <c r="Y120" s="442"/>
      <c r="Z120" s="239"/>
      <c r="AA120" s="443">
        <f t="shared" ref="AA120:AB122" si="45">Y120+W120</f>
        <v>0</v>
      </c>
      <c r="AB120" s="236">
        <f t="shared" si="45"/>
        <v>0</v>
      </c>
      <c r="AC120" s="442"/>
      <c r="AD120" s="236">
        <f t="shared" si="37"/>
        <v>0</v>
      </c>
      <c r="AE120" s="443">
        <f t="shared" ref="AE120:AF122" si="46">AC120+AA120</f>
        <v>0</v>
      </c>
      <c r="AF120" s="236">
        <f t="shared" si="46"/>
        <v>0</v>
      </c>
      <c r="AG120" s="442"/>
      <c r="AH120" s="236">
        <f t="shared" si="38"/>
        <v>0</v>
      </c>
      <c r="AI120" s="443">
        <f t="shared" ref="AI120:AJ122" si="47">AG120+AE120</f>
        <v>0</v>
      </c>
      <c r="AJ120" s="236">
        <f t="shared" si="47"/>
        <v>0</v>
      </c>
      <c r="AK120" s="442"/>
      <c r="AL120" s="236">
        <f t="shared" si="39"/>
        <v>0</v>
      </c>
      <c r="AM120" s="443">
        <f t="shared" ref="AM120:AN122" si="48">AK120+AI120</f>
        <v>0</v>
      </c>
      <c r="AN120" s="236">
        <f t="shared" si="48"/>
        <v>0</v>
      </c>
      <c r="AO120" s="444"/>
      <c r="AP120" s="424">
        <f t="shared" si="40"/>
        <v>0</v>
      </c>
    </row>
    <row r="121" spans="1:42" ht="12.5">
      <c r="A121" s="435"/>
      <c r="B121" s="188"/>
      <c r="C121" s="181"/>
      <c r="D121" s="182">
        <v>0</v>
      </c>
      <c r="E121" s="187"/>
      <c r="F121" s="501"/>
      <c r="G121" s="242"/>
      <c r="H121" s="239"/>
      <c r="I121" s="442"/>
      <c r="J121" s="239"/>
      <c r="K121" s="442"/>
      <c r="L121" s="239"/>
      <c r="M121" s="442"/>
      <c r="N121" s="239"/>
      <c r="O121" s="442"/>
      <c r="P121" s="239"/>
      <c r="Q121" s="442"/>
      <c r="R121" s="239"/>
      <c r="S121" s="442"/>
      <c r="T121" s="236">
        <f t="shared" si="35"/>
        <v>0</v>
      </c>
      <c r="U121" s="442"/>
      <c r="V121" s="239"/>
      <c r="W121" s="442"/>
      <c r="X121" s="236">
        <f t="shared" si="36"/>
        <v>0</v>
      </c>
      <c r="Y121" s="442"/>
      <c r="Z121" s="239"/>
      <c r="AA121" s="443">
        <f t="shared" si="45"/>
        <v>0</v>
      </c>
      <c r="AB121" s="236">
        <f t="shared" si="45"/>
        <v>0</v>
      </c>
      <c r="AC121" s="442"/>
      <c r="AD121" s="236">
        <f t="shared" si="37"/>
        <v>0</v>
      </c>
      <c r="AE121" s="443">
        <f t="shared" si="46"/>
        <v>0</v>
      </c>
      <c r="AF121" s="236">
        <f t="shared" si="46"/>
        <v>0</v>
      </c>
      <c r="AG121" s="442"/>
      <c r="AH121" s="236">
        <f t="shared" si="38"/>
        <v>0</v>
      </c>
      <c r="AI121" s="443">
        <f t="shared" si="47"/>
        <v>0</v>
      </c>
      <c r="AJ121" s="236">
        <f t="shared" si="47"/>
        <v>0</v>
      </c>
      <c r="AK121" s="442"/>
      <c r="AL121" s="236">
        <f t="shared" si="39"/>
        <v>0</v>
      </c>
      <c r="AM121" s="443">
        <f t="shared" si="48"/>
        <v>0</v>
      </c>
      <c r="AN121" s="236">
        <f t="shared" si="48"/>
        <v>0</v>
      </c>
      <c r="AO121" s="444"/>
      <c r="AP121" s="424">
        <f t="shared" si="40"/>
        <v>0</v>
      </c>
    </row>
    <row r="122" spans="1:42" ht="37.5">
      <c r="A122" s="435" t="s">
        <v>514</v>
      </c>
      <c r="B122" s="146" t="s">
        <v>363</v>
      </c>
      <c r="C122" s="186" t="s">
        <v>10</v>
      </c>
      <c r="D122" s="182">
        <v>1</v>
      </c>
      <c r="E122" s="187">
        <v>92400</v>
      </c>
      <c r="F122" s="502">
        <f>D122*E122</f>
        <v>92400</v>
      </c>
      <c r="G122" s="242"/>
      <c r="H122" s="239"/>
      <c r="I122" s="442"/>
      <c r="J122" s="239"/>
      <c r="K122" s="442"/>
      <c r="L122" s="239"/>
      <c r="M122" s="442"/>
      <c r="N122" s="239"/>
      <c r="O122" s="442"/>
      <c r="P122" s="239"/>
      <c r="Q122" s="442"/>
      <c r="R122" s="239"/>
      <c r="S122" s="442"/>
      <c r="T122" s="236">
        <f t="shared" si="35"/>
        <v>0</v>
      </c>
      <c r="U122" s="442"/>
      <c r="V122" s="239"/>
      <c r="W122" s="442"/>
      <c r="X122" s="236">
        <f t="shared" si="36"/>
        <v>0</v>
      </c>
      <c r="Y122" s="442"/>
      <c r="Z122" s="239"/>
      <c r="AA122" s="443">
        <f t="shared" si="45"/>
        <v>0</v>
      </c>
      <c r="AB122" s="236">
        <f t="shared" si="45"/>
        <v>0</v>
      </c>
      <c r="AC122" s="442"/>
      <c r="AD122" s="236">
        <f t="shared" si="37"/>
        <v>0</v>
      </c>
      <c r="AE122" s="443">
        <f t="shared" si="46"/>
        <v>0</v>
      </c>
      <c r="AF122" s="236">
        <f t="shared" si="46"/>
        <v>0</v>
      </c>
      <c r="AG122" s="442"/>
      <c r="AH122" s="236">
        <f t="shared" si="38"/>
        <v>0</v>
      </c>
      <c r="AI122" s="443">
        <f t="shared" si="47"/>
        <v>0</v>
      </c>
      <c r="AJ122" s="236">
        <f t="shared" si="47"/>
        <v>0</v>
      </c>
      <c r="AK122" s="442"/>
      <c r="AL122" s="236">
        <f t="shared" si="39"/>
        <v>0</v>
      </c>
      <c r="AM122" s="443">
        <f t="shared" si="48"/>
        <v>0</v>
      </c>
      <c r="AN122" s="236">
        <f t="shared" si="48"/>
        <v>0</v>
      </c>
      <c r="AO122" s="444"/>
      <c r="AP122" s="424">
        <f t="shared" si="40"/>
        <v>0</v>
      </c>
    </row>
    <row r="123" spans="1:42" s="19" customFormat="1" ht="13">
      <c r="A123" s="471"/>
      <c r="B123" s="20"/>
      <c r="C123" s="32"/>
      <c r="D123" s="33"/>
      <c r="E123" s="34"/>
      <c r="F123" s="49"/>
      <c r="AP123" s="421"/>
    </row>
    <row r="124" spans="1:42" ht="13">
      <c r="A124" s="492"/>
      <c r="B124" s="54" t="s">
        <v>775</v>
      </c>
      <c r="C124" s="374"/>
      <c r="D124" s="472"/>
      <c r="E124" s="487"/>
      <c r="F124" s="491"/>
      <c r="G124" s="419"/>
      <c r="H124" s="418"/>
      <c r="I124" s="445"/>
      <c r="J124" s="418"/>
      <c r="K124" s="445"/>
      <c r="L124" s="418"/>
      <c r="M124" s="445"/>
      <c r="N124" s="418"/>
      <c r="O124" s="445"/>
      <c r="P124" s="418"/>
      <c r="Q124" s="445"/>
      <c r="R124" s="418"/>
      <c r="S124" s="445"/>
      <c r="T124" s="416">
        <f>R124+P124</f>
        <v>0</v>
      </c>
      <c r="U124" s="445"/>
      <c r="V124" s="418"/>
      <c r="W124" s="445"/>
      <c r="X124" s="416">
        <f>V124+T124</f>
        <v>0</v>
      </c>
      <c r="Y124" s="445"/>
      <c r="Z124" s="418"/>
      <c r="AA124" s="446">
        <f>Y124+W124</f>
        <v>0</v>
      </c>
      <c r="AB124" s="416">
        <f>Z124+X124</f>
        <v>0</v>
      </c>
      <c r="AC124" s="445"/>
      <c r="AD124" s="416">
        <f>AC124*E124</f>
        <v>0</v>
      </c>
      <c r="AE124" s="446">
        <f>AC124+AA124</f>
        <v>0</v>
      </c>
      <c r="AF124" s="416">
        <f>AD124+AB124</f>
        <v>0</v>
      </c>
      <c r="AG124" s="445"/>
      <c r="AH124" s="416">
        <f>AG124*E124</f>
        <v>0</v>
      </c>
      <c r="AI124" s="446">
        <f>AG124+AE124</f>
        <v>0</v>
      </c>
      <c r="AJ124" s="416">
        <f>AH124+AF124</f>
        <v>0</v>
      </c>
      <c r="AK124" s="445"/>
      <c r="AL124" s="416">
        <f>AK124*E124</f>
        <v>0</v>
      </c>
      <c r="AM124" s="446">
        <f>AK124+AI124</f>
        <v>0</v>
      </c>
      <c r="AN124" s="416">
        <f>AL124+AJ124</f>
        <v>0</v>
      </c>
      <c r="AO124" s="447"/>
      <c r="AP124" s="423">
        <f>AO124*E124</f>
        <v>0</v>
      </c>
    </row>
    <row r="125" spans="1:42" ht="9" customHeight="1">
      <c r="A125" s="490"/>
      <c r="B125" s="380"/>
      <c r="C125" s="186"/>
      <c r="D125" s="472"/>
      <c r="E125" s="473"/>
      <c r="F125" s="489"/>
      <c r="G125" s="419"/>
      <c r="H125" s="418"/>
      <c r="I125" s="445"/>
      <c r="J125" s="418"/>
      <c r="K125" s="445"/>
      <c r="L125" s="418"/>
      <c r="M125" s="445"/>
      <c r="N125" s="418"/>
      <c r="O125" s="445"/>
      <c r="P125" s="418"/>
      <c r="Q125" s="445"/>
      <c r="R125" s="418"/>
      <c r="S125" s="445"/>
      <c r="T125" s="416">
        <f>R125+P125</f>
        <v>0</v>
      </c>
      <c r="U125" s="445"/>
      <c r="V125" s="418"/>
      <c r="W125" s="445"/>
      <c r="X125" s="416">
        <f>V125+T125</f>
        <v>0</v>
      </c>
      <c r="Y125" s="445"/>
      <c r="Z125" s="418"/>
      <c r="AA125" s="446">
        <f>Y125+W125</f>
        <v>0</v>
      </c>
      <c r="AB125" s="416">
        <f>Z125+X125</f>
        <v>0</v>
      </c>
      <c r="AC125" s="445"/>
      <c r="AD125" s="416">
        <f>AC125*E125</f>
        <v>0</v>
      </c>
      <c r="AE125" s="446">
        <f>AC125+AA125</f>
        <v>0</v>
      </c>
      <c r="AF125" s="416">
        <f>AD125+AB125</f>
        <v>0</v>
      </c>
      <c r="AG125" s="445"/>
      <c r="AH125" s="416">
        <f>AG125*E125</f>
        <v>0</v>
      </c>
      <c r="AI125" s="446">
        <f>AG125+AE125</f>
        <v>0</v>
      </c>
      <c r="AJ125" s="416">
        <f>AH125+AF125</f>
        <v>0</v>
      </c>
      <c r="AK125" s="445"/>
      <c r="AL125" s="416">
        <f>AK125*E125</f>
        <v>0</v>
      </c>
      <c r="AM125" s="446">
        <f>AK125+AI125</f>
        <v>0</v>
      </c>
      <c r="AN125" s="416">
        <f>AL125+AJ125</f>
        <v>0</v>
      </c>
      <c r="AO125" s="447"/>
      <c r="AP125" s="423">
        <f>AO125*E125</f>
        <v>0</v>
      </c>
    </row>
    <row r="126" spans="1:42" ht="53.25" customHeight="1">
      <c r="A126" s="490"/>
      <c r="B126" s="380" t="s">
        <v>776</v>
      </c>
      <c r="C126" s="186"/>
      <c r="D126" s="472"/>
      <c r="E126" s="473"/>
      <c r="F126" s="489"/>
      <c r="G126" s="419"/>
      <c r="H126" s="418"/>
      <c r="I126" s="445"/>
      <c r="J126" s="418"/>
      <c r="K126" s="445"/>
      <c r="L126" s="418"/>
      <c r="M126" s="445"/>
      <c r="N126" s="418"/>
      <c r="O126" s="445"/>
      <c r="P126" s="418"/>
      <c r="Q126" s="445"/>
      <c r="R126" s="418"/>
      <c r="S126" s="445"/>
      <c r="T126" s="416"/>
      <c r="U126" s="445"/>
      <c r="V126" s="418"/>
      <c r="W126" s="445"/>
      <c r="X126" s="416"/>
      <c r="Y126" s="445"/>
      <c r="Z126" s="418"/>
      <c r="AA126" s="446"/>
      <c r="AB126" s="416"/>
      <c r="AC126" s="445"/>
      <c r="AD126" s="416"/>
      <c r="AE126" s="446"/>
      <c r="AF126" s="416"/>
      <c r="AG126" s="445"/>
      <c r="AH126" s="416"/>
      <c r="AI126" s="446"/>
      <c r="AJ126" s="416"/>
      <c r="AK126" s="445"/>
      <c r="AL126" s="416"/>
      <c r="AM126" s="446"/>
      <c r="AN126" s="416"/>
      <c r="AO126" s="447"/>
      <c r="AP126" s="423"/>
    </row>
    <row r="127" spans="1:42" ht="12.5">
      <c r="A127" s="490"/>
      <c r="B127" s="380"/>
      <c r="C127" s="186"/>
      <c r="D127" s="472"/>
      <c r="E127" s="473"/>
      <c r="F127" s="489"/>
      <c r="G127" s="419"/>
      <c r="H127" s="418"/>
      <c r="I127" s="445"/>
      <c r="J127" s="418"/>
      <c r="K127" s="445"/>
      <c r="L127" s="418"/>
      <c r="M127" s="445"/>
      <c r="N127" s="418"/>
      <c r="O127" s="445"/>
      <c r="P127" s="418"/>
      <c r="Q127" s="445"/>
      <c r="R127" s="418"/>
      <c r="S127" s="445"/>
      <c r="T127" s="416">
        <f>R127+P127</f>
        <v>0</v>
      </c>
      <c r="U127" s="445"/>
      <c r="V127" s="418"/>
      <c r="W127" s="445"/>
      <c r="X127" s="416">
        <f>V127+T127</f>
        <v>0</v>
      </c>
      <c r="Y127" s="445"/>
      <c r="Z127" s="418"/>
      <c r="AA127" s="446">
        <f>Y127+W127</f>
        <v>0</v>
      </c>
      <c r="AB127" s="416">
        <f>Z127+X127</f>
        <v>0</v>
      </c>
      <c r="AC127" s="445"/>
      <c r="AD127" s="416">
        <f>AC127*E127</f>
        <v>0</v>
      </c>
      <c r="AE127" s="446">
        <f>AC127+AA127</f>
        <v>0</v>
      </c>
      <c r="AF127" s="416">
        <f>AD127+AB127</f>
        <v>0</v>
      </c>
      <c r="AG127" s="445"/>
      <c r="AH127" s="416">
        <f>AG127*E127</f>
        <v>0</v>
      </c>
      <c r="AI127" s="446">
        <f>AG127+AE127</f>
        <v>0</v>
      </c>
      <c r="AJ127" s="416">
        <f>AH127+AF127</f>
        <v>0</v>
      </c>
      <c r="AK127" s="445"/>
      <c r="AL127" s="416">
        <f>AK127*E127</f>
        <v>0</v>
      </c>
      <c r="AM127" s="446">
        <f>AK127+AI127</f>
        <v>0</v>
      </c>
      <c r="AN127" s="416">
        <f>AL127+AJ127</f>
        <v>0</v>
      </c>
      <c r="AO127" s="447"/>
      <c r="AP127" s="423">
        <f>AO127*E127</f>
        <v>0</v>
      </c>
    </row>
    <row r="128" spans="1:42" ht="12.5">
      <c r="A128" s="435" t="s">
        <v>777</v>
      </c>
      <c r="B128" s="380" t="s">
        <v>778</v>
      </c>
      <c r="C128" s="186" t="s">
        <v>10</v>
      </c>
      <c r="D128" s="472">
        <v>1</v>
      </c>
      <c r="E128" s="417">
        <v>11565</v>
      </c>
      <c r="F128" s="489">
        <f>D128*E128</f>
        <v>11565</v>
      </c>
      <c r="G128" s="419"/>
      <c r="H128" s="418"/>
      <c r="I128" s="445"/>
      <c r="J128" s="418"/>
      <c r="K128" s="445"/>
      <c r="L128" s="418"/>
      <c r="M128" s="445"/>
      <c r="N128" s="418"/>
      <c r="O128" s="445"/>
      <c r="P128" s="418"/>
      <c r="Q128" s="445"/>
      <c r="R128" s="418"/>
      <c r="S128" s="445"/>
      <c r="T128" s="416">
        <f>R128+P128</f>
        <v>0</v>
      </c>
      <c r="U128" s="445"/>
      <c r="V128" s="418"/>
      <c r="W128" s="445"/>
      <c r="X128" s="416">
        <f>V128+T128</f>
        <v>0</v>
      </c>
      <c r="Y128" s="445"/>
      <c r="Z128" s="418"/>
      <c r="AA128" s="446">
        <f>Y128+W128</f>
        <v>0</v>
      </c>
      <c r="AB128" s="416">
        <f>Z128+X128</f>
        <v>0</v>
      </c>
      <c r="AC128" s="445"/>
      <c r="AD128" s="416">
        <f>AC128*E128</f>
        <v>0</v>
      </c>
      <c r="AE128" s="446">
        <f>AC128+AA128</f>
        <v>0</v>
      </c>
      <c r="AF128" s="416">
        <f>AD128+AB128</f>
        <v>0</v>
      </c>
      <c r="AG128" s="445"/>
      <c r="AH128" s="416">
        <f>AG128*E128</f>
        <v>0</v>
      </c>
      <c r="AI128" s="446">
        <f>AG128+AE128</f>
        <v>0</v>
      </c>
      <c r="AJ128" s="416">
        <f>AH128+AF128</f>
        <v>0</v>
      </c>
      <c r="AK128" s="445"/>
      <c r="AL128" s="416">
        <f>AK128*E128</f>
        <v>0</v>
      </c>
      <c r="AM128" s="446">
        <f>AK128+AI128</f>
        <v>0</v>
      </c>
      <c r="AN128" s="416">
        <f>AL128+AJ128</f>
        <v>0</v>
      </c>
      <c r="AO128" s="447"/>
      <c r="AP128" s="423">
        <f>AO128*E128</f>
        <v>0</v>
      </c>
    </row>
    <row r="129" spans="1:42" ht="12.5">
      <c r="A129" s="490"/>
      <c r="B129" s="391"/>
      <c r="C129" s="186"/>
      <c r="D129" s="472"/>
      <c r="E129" s="473"/>
      <c r="F129" s="489"/>
      <c r="G129" s="419"/>
      <c r="H129" s="418"/>
      <c r="I129" s="445"/>
      <c r="J129" s="418"/>
      <c r="K129" s="445"/>
      <c r="L129" s="418"/>
      <c r="M129" s="445"/>
      <c r="N129" s="418"/>
      <c r="O129" s="445"/>
      <c r="P129" s="418"/>
      <c r="Q129" s="445"/>
      <c r="R129" s="418"/>
      <c r="S129" s="445"/>
      <c r="T129" s="416"/>
      <c r="U129" s="445"/>
      <c r="V129" s="418"/>
      <c r="W129" s="445"/>
      <c r="X129" s="416"/>
      <c r="Y129" s="445"/>
      <c r="Z129" s="418"/>
      <c r="AA129" s="446"/>
      <c r="AB129" s="416"/>
      <c r="AC129" s="445"/>
      <c r="AD129" s="416"/>
      <c r="AE129" s="446"/>
      <c r="AF129" s="416"/>
      <c r="AG129" s="445"/>
      <c r="AH129" s="416"/>
      <c r="AI129" s="446"/>
      <c r="AJ129" s="416"/>
      <c r="AK129" s="445"/>
      <c r="AL129" s="416"/>
      <c r="AM129" s="446"/>
      <c r="AN129" s="416"/>
      <c r="AO129" s="447"/>
      <c r="AP129" s="423"/>
    </row>
    <row r="130" spans="1:42" ht="13">
      <c r="A130" s="492"/>
      <c r="B130" s="54" t="s">
        <v>779</v>
      </c>
      <c r="C130" s="374"/>
      <c r="D130" s="472"/>
      <c r="E130" s="487"/>
      <c r="F130" s="506"/>
      <c r="G130" s="419"/>
      <c r="H130" s="418"/>
      <c r="I130" s="445"/>
      <c r="J130" s="418"/>
      <c r="K130" s="445"/>
      <c r="L130" s="418"/>
      <c r="M130" s="445"/>
      <c r="N130" s="418"/>
      <c r="O130" s="445"/>
      <c r="P130" s="418"/>
      <c r="Q130" s="445"/>
      <c r="R130" s="418"/>
      <c r="S130" s="445"/>
      <c r="T130" s="416"/>
      <c r="U130" s="445"/>
      <c r="V130" s="418"/>
      <c r="W130" s="445"/>
      <c r="X130" s="416"/>
      <c r="Y130" s="445"/>
      <c r="Z130" s="418"/>
      <c r="AA130" s="446"/>
      <c r="AB130" s="416"/>
      <c r="AC130" s="445"/>
      <c r="AD130" s="416"/>
      <c r="AE130" s="446"/>
      <c r="AF130" s="416"/>
      <c r="AG130" s="445"/>
      <c r="AH130" s="416"/>
      <c r="AI130" s="446"/>
      <c r="AJ130" s="416"/>
      <c r="AK130" s="445"/>
      <c r="AL130" s="416"/>
      <c r="AM130" s="446"/>
      <c r="AN130" s="416"/>
      <c r="AO130" s="447"/>
      <c r="AP130" s="423"/>
    </row>
    <row r="131" spans="1:42" ht="12.5">
      <c r="A131" s="490"/>
      <c r="B131" s="378"/>
      <c r="C131" s="374"/>
      <c r="D131" s="472"/>
      <c r="E131" s="473"/>
      <c r="F131" s="491"/>
      <c r="G131" s="419"/>
      <c r="H131" s="418"/>
      <c r="I131" s="445"/>
      <c r="J131" s="418"/>
      <c r="K131" s="445"/>
      <c r="L131" s="418"/>
      <c r="M131" s="445"/>
      <c r="N131" s="418"/>
      <c r="O131" s="445"/>
      <c r="P131" s="418"/>
      <c r="Q131" s="445"/>
      <c r="R131" s="418"/>
      <c r="S131" s="445"/>
      <c r="T131" s="416">
        <f t="shared" ref="T131:T136" si="49">R131+P131</f>
        <v>0</v>
      </c>
      <c r="U131" s="445"/>
      <c r="V131" s="418"/>
      <c r="W131" s="445"/>
      <c r="X131" s="416">
        <f t="shared" ref="X131:X136" si="50">V131+T131</f>
        <v>0</v>
      </c>
      <c r="Y131" s="445"/>
      <c r="Z131" s="418"/>
      <c r="AA131" s="446">
        <f t="shared" ref="AA131:AB135" si="51">Y131+W131</f>
        <v>0</v>
      </c>
      <c r="AB131" s="416">
        <f t="shared" si="51"/>
        <v>0</v>
      </c>
      <c r="AC131" s="445"/>
      <c r="AD131" s="416">
        <f t="shared" ref="AD131:AD136" si="52">AC131*E131</f>
        <v>0</v>
      </c>
      <c r="AE131" s="446">
        <f t="shared" ref="AE131:AF135" si="53">AC131+AA131</f>
        <v>0</v>
      </c>
      <c r="AF131" s="416">
        <f t="shared" si="53"/>
        <v>0</v>
      </c>
      <c r="AG131" s="445"/>
      <c r="AH131" s="416">
        <f t="shared" ref="AH131:AH136" si="54">AG131*E131</f>
        <v>0</v>
      </c>
      <c r="AI131" s="446">
        <f t="shared" ref="AI131:AJ135" si="55">AG131+AE131</f>
        <v>0</v>
      </c>
      <c r="AJ131" s="416">
        <f t="shared" si="55"/>
        <v>0</v>
      </c>
      <c r="AK131" s="445"/>
      <c r="AL131" s="416">
        <f t="shared" ref="AL131:AL136" si="56">AK131*E131</f>
        <v>0</v>
      </c>
      <c r="AM131" s="446">
        <f t="shared" ref="AM131:AN135" si="57">AK131+AI131</f>
        <v>0</v>
      </c>
      <c r="AN131" s="416">
        <f t="shared" si="57"/>
        <v>0</v>
      </c>
      <c r="AO131" s="447"/>
      <c r="AP131" s="423">
        <f t="shared" ref="AP131:AP136" si="58">AO131*E131</f>
        <v>0</v>
      </c>
    </row>
    <row r="132" spans="1:42" ht="12.5">
      <c r="A132" s="490" t="s">
        <v>342</v>
      </c>
      <c r="B132" s="380" t="s">
        <v>343</v>
      </c>
      <c r="C132" s="186" t="s">
        <v>10</v>
      </c>
      <c r="D132" s="472">
        <v>10</v>
      </c>
      <c r="E132" s="473">
        <v>31765</v>
      </c>
      <c r="F132" s="489">
        <f>D132*E132</f>
        <v>317650</v>
      </c>
      <c r="G132" s="419"/>
      <c r="H132" s="418"/>
      <c r="I132" s="445"/>
      <c r="J132" s="418"/>
      <c r="K132" s="445"/>
      <c r="L132" s="418"/>
      <c r="M132" s="445"/>
      <c r="N132" s="418"/>
      <c r="O132" s="445"/>
      <c r="P132" s="418"/>
      <c r="Q132" s="445"/>
      <c r="R132" s="418"/>
      <c r="S132" s="445"/>
      <c r="T132" s="416">
        <f t="shared" si="49"/>
        <v>0</v>
      </c>
      <c r="U132" s="445"/>
      <c r="V132" s="418"/>
      <c r="W132" s="445"/>
      <c r="X132" s="416">
        <f t="shared" si="50"/>
        <v>0</v>
      </c>
      <c r="Y132" s="445"/>
      <c r="Z132" s="418"/>
      <c r="AA132" s="446">
        <f t="shared" si="51"/>
        <v>0</v>
      </c>
      <c r="AB132" s="416">
        <f t="shared" si="51"/>
        <v>0</v>
      </c>
      <c r="AC132" s="445"/>
      <c r="AD132" s="416">
        <f t="shared" si="52"/>
        <v>0</v>
      </c>
      <c r="AE132" s="446">
        <f t="shared" si="53"/>
        <v>0</v>
      </c>
      <c r="AF132" s="416">
        <f t="shared" si="53"/>
        <v>0</v>
      </c>
      <c r="AG132" s="445"/>
      <c r="AH132" s="416">
        <f t="shared" si="54"/>
        <v>0</v>
      </c>
      <c r="AI132" s="446">
        <f t="shared" si="55"/>
        <v>0</v>
      </c>
      <c r="AJ132" s="416">
        <f t="shared" si="55"/>
        <v>0</v>
      </c>
      <c r="AK132" s="445"/>
      <c r="AL132" s="416">
        <f t="shared" si="56"/>
        <v>0</v>
      </c>
      <c r="AM132" s="446">
        <f t="shared" si="57"/>
        <v>0</v>
      </c>
      <c r="AN132" s="416">
        <f t="shared" si="57"/>
        <v>0</v>
      </c>
      <c r="AO132" s="447"/>
      <c r="AP132" s="423">
        <f t="shared" si="58"/>
        <v>0</v>
      </c>
    </row>
    <row r="133" spans="1:42" ht="12.5">
      <c r="A133" s="490"/>
      <c r="B133" s="378"/>
      <c r="C133" s="374"/>
      <c r="D133" s="472"/>
      <c r="E133" s="473"/>
      <c r="F133" s="491"/>
      <c r="G133" s="419"/>
      <c r="H133" s="418"/>
      <c r="I133" s="445"/>
      <c r="J133" s="418"/>
      <c r="K133" s="445"/>
      <c r="L133" s="418"/>
      <c r="M133" s="445"/>
      <c r="N133" s="418"/>
      <c r="O133" s="445"/>
      <c r="P133" s="418"/>
      <c r="Q133" s="445"/>
      <c r="R133" s="418"/>
      <c r="S133" s="445"/>
      <c r="T133" s="416">
        <f t="shared" si="49"/>
        <v>0</v>
      </c>
      <c r="U133" s="445"/>
      <c r="V133" s="418"/>
      <c r="W133" s="445"/>
      <c r="X133" s="416">
        <f t="shared" si="50"/>
        <v>0</v>
      </c>
      <c r="Y133" s="445"/>
      <c r="Z133" s="418"/>
      <c r="AA133" s="446">
        <f t="shared" si="51"/>
        <v>0</v>
      </c>
      <c r="AB133" s="416">
        <f t="shared" si="51"/>
        <v>0</v>
      </c>
      <c r="AC133" s="445"/>
      <c r="AD133" s="416">
        <f t="shared" si="52"/>
        <v>0</v>
      </c>
      <c r="AE133" s="446">
        <f t="shared" si="53"/>
        <v>0</v>
      </c>
      <c r="AF133" s="416">
        <f t="shared" si="53"/>
        <v>0</v>
      </c>
      <c r="AG133" s="445"/>
      <c r="AH133" s="416">
        <f t="shared" si="54"/>
        <v>0</v>
      </c>
      <c r="AI133" s="446">
        <f t="shared" si="55"/>
        <v>0</v>
      </c>
      <c r="AJ133" s="416">
        <f t="shared" si="55"/>
        <v>0</v>
      </c>
      <c r="AK133" s="445"/>
      <c r="AL133" s="416">
        <f t="shared" si="56"/>
        <v>0</v>
      </c>
      <c r="AM133" s="446">
        <f t="shared" si="57"/>
        <v>0</v>
      </c>
      <c r="AN133" s="416">
        <f t="shared" si="57"/>
        <v>0</v>
      </c>
      <c r="AO133" s="447"/>
      <c r="AP133" s="423">
        <f t="shared" si="58"/>
        <v>0</v>
      </c>
    </row>
    <row r="134" spans="1:42" ht="12.5">
      <c r="A134" s="492"/>
      <c r="B134" s="381" t="s">
        <v>770</v>
      </c>
      <c r="C134" s="374"/>
      <c r="D134" s="472"/>
      <c r="E134" s="473"/>
      <c r="F134" s="491"/>
      <c r="G134" s="419"/>
      <c r="H134" s="418"/>
      <c r="I134" s="445"/>
      <c r="J134" s="418"/>
      <c r="K134" s="445"/>
      <c r="L134" s="418"/>
      <c r="M134" s="445"/>
      <c r="N134" s="418"/>
      <c r="O134" s="445"/>
      <c r="P134" s="418"/>
      <c r="Q134" s="445"/>
      <c r="R134" s="418"/>
      <c r="S134" s="445"/>
      <c r="T134" s="416">
        <f t="shared" si="49"/>
        <v>0</v>
      </c>
      <c r="U134" s="445"/>
      <c r="V134" s="418"/>
      <c r="W134" s="445"/>
      <c r="X134" s="416">
        <f t="shared" si="50"/>
        <v>0</v>
      </c>
      <c r="Y134" s="445"/>
      <c r="Z134" s="418"/>
      <c r="AA134" s="446">
        <f t="shared" si="51"/>
        <v>0</v>
      </c>
      <c r="AB134" s="416">
        <f t="shared" si="51"/>
        <v>0</v>
      </c>
      <c r="AC134" s="445"/>
      <c r="AD134" s="416">
        <f t="shared" si="52"/>
        <v>0</v>
      </c>
      <c r="AE134" s="446">
        <f t="shared" si="53"/>
        <v>0</v>
      </c>
      <c r="AF134" s="416">
        <f t="shared" si="53"/>
        <v>0</v>
      </c>
      <c r="AG134" s="445"/>
      <c r="AH134" s="416">
        <f t="shared" si="54"/>
        <v>0</v>
      </c>
      <c r="AI134" s="446">
        <f t="shared" si="55"/>
        <v>0</v>
      </c>
      <c r="AJ134" s="416">
        <f t="shared" si="55"/>
        <v>0</v>
      </c>
      <c r="AK134" s="445"/>
      <c r="AL134" s="416">
        <f t="shared" si="56"/>
        <v>0</v>
      </c>
      <c r="AM134" s="446">
        <f t="shared" si="57"/>
        <v>0</v>
      </c>
      <c r="AN134" s="416">
        <f t="shared" si="57"/>
        <v>0</v>
      </c>
      <c r="AO134" s="447"/>
      <c r="AP134" s="423">
        <f t="shared" si="58"/>
        <v>0</v>
      </c>
    </row>
    <row r="135" spans="1:42" ht="12.5">
      <c r="A135" s="490"/>
      <c r="B135" s="378"/>
      <c r="C135" s="374"/>
      <c r="D135" s="472"/>
      <c r="E135" s="473"/>
      <c r="F135" s="491"/>
      <c r="G135" s="419"/>
      <c r="H135" s="418"/>
      <c r="I135" s="445"/>
      <c r="J135" s="418"/>
      <c r="K135" s="445"/>
      <c r="L135" s="418"/>
      <c r="M135" s="445"/>
      <c r="N135" s="418"/>
      <c r="O135" s="445"/>
      <c r="P135" s="418"/>
      <c r="Q135" s="445"/>
      <c r="R135" s="418"/>
      <c r="S135" s="445"/>
      <c r="T135" s="416">
        <f t="shared" si="49"/>
        <v>0</v>
      </c>
      <c r="U135" s="445"/>
      <c r="V135" s="418"/>
      <c r="W135" s="445"/>
      <c r="X135" s="416">
        <f t="shared" si="50"/>
        <v>0</v>
      </c>
      <c r="Y135" s="445"/>
      <c r="Z135" s="418"/>
      <c r="AA135" s="446">
        <f t="shared" si="51"/>
        <v>0</v>
      </c>
      <c r="AB135" s="416">
        <f t="shared" si="51"/>
        <v>0</v>
      </c>
      <c r="AC135" s="445"/>
      <c r="AD135" s="416">
        <f t="shared" si="52"/>
        <v>0</v>
      </c>
      <c r="AE135" s="446">
        <f t="shared" si="53"/>
        <v>0</v>
      </c>
      <c r="AF135" s="416">
        <f t="shared" si="53"/>
        <v>0</v>
      </c>
      <c r="AG135" s="445"/>
      <c r="AH135" s="416">
        <f t="shared" si="54"/>
        <v>0</v>
      </c>
      <c r="AI135" s="446">
        <f t="shared" si="55"/>
        <v>0</v>
      </c>
      <c r="AJ135" s="416">
        <f t="shared" si="55"/>
        <v>0</v>
      </c>
      <c r="AK135" s="445"/>
      <c r="AL135" s="416">
        <f t="shared" si="56"/>
        <v>0</v>
      </c>
      <c r="AM135" s="446">
        <f t="shared" si="57"/>
        <v>0</v>
      </c>
      <c r="AN135" s="416">
        <f t="shared" si="57"/>
        <v>0</v>
      </c>
      <c r="AO135" s="447"/>
      <c r="AP135" s="423">
        <f t="shared" si="58"/>
        <v>0</v>
      </c>
    </row>
    <row r="136" spans="1:42" ht="25">
      <c r="A136" s="490" t="s">
        <v>780</v>
      </c>
      <c r="B136" s="28" t="s">
        <v>781</v>
      </c>
      <c r="C136" s="186" t="s">
        <v>10</v>
      </c>
      <c r="D136" s="472">
        <v>2</v>
      </c>
      <c r="E136" s="473">
        <v>5085</v>
      </c>
      <c r="F136" s="489">
        <f>D136*E136</f>
        <v>10170</v>
      </c>
      <c r="G136" s="419"/>
      <c r="H136" s="418"/>
      <c r="I136" s="445"/>
      <c r="J136" s="418"/>
      <c r="K136" s="445"/>
      <c r="L136" s="418"/>
      <c r="M136" s="445"/>
      <c r="N136" s="418"/>
      <c r="O136" s="445"/>
      <c r="P136" s="418"/>
      <c r="Q136" s="445"/>
      <c r="R136" s="418"/>
      <c r="S136" s="445"/>
      <c r="T136" s="416">
        <f t="shared" si="49"/>
        <v>0</v>
      </c>
      <c r="U136" s="445"/>
      <c r="V136" s="418"/>
      <c r="W136" s="445"/>
      <c r="X136" s="416">
        <f t="shared" si="50"/>
        <v>0</v>
      </c>
      <c r="Y136" s="445"/>
      <c r="Z136" s="418"/>
      <c r="AA136" s="446">
        <f>Y136+W136</f>
        <v>0</v>
      </c>
      <c r="AB136" s="416">
        <f>Z136+X136</f>
        <v>0</v>
      </c>
      <c r="AC136" s="445"/>
      <c r="AD136" s="416">
        <f t="shared" si="52"/>
        <v>0</v>
      </c>
      <c r="AE136" s="446">
        <f>AC136+AA136</f>
        <v>0</v>
      </c>
      <c r="AF136" s="416">
        <f>AD136+AB136</f>
        <v>0</v>
      </c>
      <c r="AG136" s="445"/>
      <c r="AH136" s="416">
        <f t="shared" si="54"/>
        <v>0</v>
      </c>
      <c r="AI136" s="446">
        <f>AG136+AE136</f>
        <v>0</v>
      </c>
      <c r="AJ136" s="416">
        <f>AH136+AF136</f>
        <v>0</v>
      </c>
      <c r="AK136" s="445"/>
      <c r="AL136" s="416">
        <f t="shared" si="56"/>
        <v>0</v>
      </c>
      <c r="AM136" s="446">
        <f>AK136+AI136</f>
        <v>0</v>
      </c>
      <c r="AN136" s="416">
        <f>AL136+AJ136</f>
        <v>0</v>
      </c>
      <c r="AO136" s="447"/>
      <c r="AP136" s="423">
        <f t="shared" si="58"/>
        <v>0</v>
      </c>
    </row>
    <row r="137" spans="1:42" ht="12.5">
      <c r="A137" s="490"/>
      <c r="B137" s="28"/>
      <c r="C137" s="186"/>
      <c r="D137" s="472"/>
      <c r="E137" s="473"/>
      <c r="F137" s="489"/>
      <c r="G137" s="419"/>
      <c r="H137" s="418"/>
      <c r="I137" s="445"/>
      <c r="J137" s="418"/>
      <c r="K137" s="445"/>
      <c r="L137" s="418"/>
      <c r="M137" s="445"/>
      <c r="N137" s="418"/>
      <c r="O137" s="445"/>
      <c r="P137" s="418"/>
      <c r="Q137" s="445"/>
      <c r="R137" s="418"/>
      <c r="S137" s="445"/>
      <c r="T137" s="416"/>
      <c r="U137" s="445"/>
      <c r="V137" s="418"/>
      <c r="W137" s="445"/>
      <c r="X137" s="416"/>
      <c r="Y137" s="445"/>
      <c r="Z137" s="418"/>
      <c r="AA137" s="446"/>
      <c r="AB137" s="416"/>
      <c r="AC137" s="445"/>
      <c r="AD137" s="416"/>
      <c r="AE137" s="446"/>
      <c r="AF137" s="416"/>
      <c r="AG137" s="445"/>
      <c r="AH137" s="416"/>
      <c r="AI137" s="446"/>
      <c r="AJ137" s="416"/>
      <c r="AK137" s="445"/>
      <c r="AL137" s="416"/>
      <c r="AM137" s="446"/>
      <c r="AN137" s="416"/>
      <c r="AO137" s="447"/>
      <c r="AP137" s="423"/>
    </row>
    <row r="138" spans="1:42" ht="26">
      <c r="A138" s="490"/>
      <c r="B138" s="54" t="s">
        <v>782</v>
      </c>
      <c r="C138" s="374"/>
      <c r="D138" s="472"/>
      <c r="E138" s="487"/>
      <c r="F138" s="488"/>
      <c r="G138" s="419"/>
      <c r="H138" s="418"/>
      <c r="I138" s="445"/>
      <c r="J138" s="418"/>
      <c r="K138" s="445"/>
      <c r="L138" s="418"/>
      <c r="M138" s="445"/>
      <c r="N138" s="418"/>
      <c r="O138" s="445"/>
      <c r="P138" s="418"/>
      <c r="Q138" s="445"/>
      <c r="R138" s="418"/>
      <c r="S138" s="445"/>
      <c r="T138" s="416">
        <f t="shared" ref="T138:T146" si="59">R138+P138</f>
        <v>0</v>
      </c>
      <c r="U138" s="445"/>
      <c r="V138" s="418"/>
      <c r="W138" s="445"/>
      <c r="X138" s="416">
        <f t="shared" ref="X138:X146" si="60">V138+T138</f>
        <v>0</v>
      </c>
      <c r="Y138" s="445"/>
      <c r="Z138" s="418"/>
      <c r="AA138" s="446">
        <f t="shared" ref="AA138:AB146" si="61">Y138+W138</f>
        <v>0</v>
      </c>
      <c r="AB138" s="416">
        <f t="shared" si="61"/>
        <v>0</v>
      </c>
      <c r="AC138" s="445"/>
      <c r="AD138" s="416">
        <f t="shared" ref="AD138:AD146" si="62">AC138*E138</f>
        <v>0</v>
      </c>
      <c r="AE138" s="446">
        <f t="shared" ref="AE138:AF146" si="63">AC138+AA138</f>
        <v>0</v>
      </c>
      <c r="AF138" s="416">
        <f t="shared" si="63"/>
        <v>0</v>
      </c>
      <c r="AG138" s="445"/>
      <c r="AH138" s="416">
        <f t="shared" ref="AH138:AH146" si="64">AG138*E138</f>
        <v>0</v>
      </c>
      <c r="AI138" s="446">
        <f t="shared" ref="AI138:AJ146" si="65">AG138+AE138</f>
        <v>0</v>
      </c>
      <c r="AJ138" s="416">
        <f t="shared" si="65"/>
        <v>0</v>
      </c>
      <c r="AK138" s="445"/>
      <c r="AL138" s="416">
        <f t="shared" ref="AL138:AL146" si="66">AK138*E138</f>
        <v>0</v>
      </c>
      <c r="AM138" s="446">
        <f t="shared" ref="AM138:AN146" si="67">AK138+AI138</f>
        <v>0</v>
      </c>
      <c r="AN138" s="416">
        <f t="shared" si="67"/>
        <v>0</v>
      </c>
      <c r="AO138" s="447"/>
      <c r="AP138" s="423">
        <f t="shared" ref="AP138:AP146" si="68">AO138*E138</f>
        <v>0</v>
      </c>
    </row>
    <row r="139" spans="1:42" ht="12.5">
      <c r="A139" s="490"/>
      <c r="B139" s="378"/>
      <c r="C139" s="374"/>
      <c r="D139" s="472"/>
      <c r="E139" s="473"/>
      <c r="F139" s="491"/>
      <c r="G139" s="419"/>
      <c r="H139" s="418"/>
      <c r="I139" s="445"/>
      <c r="J139" s="418"/>
      <c r="K139" s="445"/>
      <c r="L139" s="418"/>
      <c r="M139" s="445"/>
      <c r="N139" s="418"/>
      <c r="O139" s="445"/>
      <c r="P139" s="418"/>
      <c r="Q139" s="445"/>
      <c r="R139" s="418"/>
      <c r="S139" s="445"/>
      <c r="T139" s="416">
        <f t="shared" si="59"/>
        <v>0</v>
      </c>
      <c r="U139" s="445"/>
      <c r="V139" s="418"/>
      <c r="W139" s="445"/>
      <c r="X139" s="416">
        <f t="shared" si="60"/>
        <v>0</v>
      </c>
      <c r="Y139" s="445"/>
      <c r="Z139" s="418"/>
      <c r="AA139" s="446">
        <f t="shared" si="61"/>
        <v>0</v>
      </c>
      <c r="AB139" s="416">
        <f t="shared" si="61"/>
        <v>0</v>
      </c>
      <c r="AC139" s="445"/>
      <c r="AD139" s="416">
        <f t="shared" si="62"/>
        <v>0</v>
      </c>
      <c r="AE139" s="446">
        <f t="shared" si="63"/>
        <v>0</v>
      </c>
      <c r="AF139" s="416">
        <f t="shared" si="63"/>
        <v>0</v>
      </c>
      <c r="AG139" s="445"/>
      <c r="AH139" s="416">
        <f t="shared" si="64"/>
        <v>0</v>
      </c>
      <c r="AI139" s="446">
        <f t="shared" si="65"/>
        <v>0</v>
      </c>
      <c r="AJ139" s="416">
        <f t="shared" si="65"/>
        <v>0</v>
      </c>
      <c r="AK139" s="445"/>
      <c r="AL139" s="416">
        <f t="shared" si="66"/>
        <v>0</v>
      </c>
      <c r="AM139" s="446">
        <f t="shared" si="67"/>
        <v>0</v>
      </c>
      <c r="AN139" s="416">
        <f t="shared" si="67"/>
        <v>0</v>
      </c>
      <c r="AO139" s="447"/>
      <c r="AP139" s="423">
        <f t="shared" si="68"/>
        <v>0</v>
      </c>
    </row>
    <row r="140" spans="1:42" ht="25">
      <c r="A140" s="492"/>
      <c r="B140" s="381" t="s">
        <v>783</v>
      </c>
      <c r="C140" s="374"/>
      <c r="D140" s="472"/>
      <c r="E140" s="487"/>
      <c r="F140" s="488"/>
      <c r="G140" s="419"/>
      <c r="H140" s="418"/>
      <c r="I140" s="445"/>
      <c r="J140" s="418"/>
      <c r="K140" s="445"/>
      <c r="L140" s="418"/>
      <c r="M140" s="445"/>
      <c r="N140" s="418"/>
      <c r="O140" s="445"/>
      <c r="P140" s="418"/>
      <c r="Q140" s="445"/>
      <c r="R140" s="418"/>
      <c r="S140" s="445"/>
      <c r="T140" s="416">
        <f t="shared" si="59"/>
        <v>0</v>
      </c>
      <c r="U140" s="445"/>
      <c r="V140" s="418"/>
      <c r="W140" s="445"/>
      <c r="X140" s="416">
        <f t="shared" si="60"/>
        <v>0</v>
      </c>
      <c r="Y140" s="445"/>
      <c r="Z140" s="418"/>
      <c r="AA140" s="446">
        <f t="shared" si="61"/>
        <v>0</v>
      </c>
      <c r="AB140" s="416">
        <f t="shared" si="61"/>
        <v>0</v>
      </c>
      <c r="AC140" s="445"/>
      <c r="AD140" s="416">
        <f t="shared" si="62"/>
        <v>0</v>
      </c>
      <c r="AE140" s="446">
        <f t="shared" si="63"/>
        <v>0</v>
      </c>
      <c r="AF140" s="416">
        <f t="shared" si="63"/>
        <v>0</v>
      </c>
      <c r="AG140" s="445"/>
      <c r="AH140" s="416">
        <f t="shared" si="64"/>
        <v>0</v>
      </c>
      <c r="AI140" s="446">
        <f t="shared" si="65"/>
        <v>0</v>
      </c>
      <c r="AJ140" s="416">
        <f t="shared" si="65"/>
        <v>0</v>
      </c>
      <c r="AK140" s="445"/>
      <c r="AL140" s="416">
        <f t="shared" si="66"/>
        <v>0</v>
      </c>
      <c r="AM140" s="446">
        <f t="shared" si="67"/>
        <v>0</v>
      </c>
      <c r="AN140" s="416">
        <f t="shared" si="67"/>
        <v>0</v>
      </c>
      <c r="AO140" s="447"/>
      <c r="AP140" s="423">
        <f t="shared" si="68"/>
        <v>0</v>
      </c>
    </row>
    <row r="141" spans="1:42" ht="12.5">
      <c r="A141" s="490"/>
      <c r="B141" s="378"/>
      <c r="C141" s="374"/>
      <c r="D141" s="472"/>
      <c r="E141" s="473"/>
      <c r="F141" s="491"/>
      <c r="G141" s="419"/>
      <c r="H141" s="418"/>
      <c r="I141" s="445"/>
      <c r="J141" s="418"/>
      <c r="K141" s="445"/>
      <c r="L141" s="418"/>
      <c r="M141" s="445"/>
      <c r="N141" s="418"/>
      <c r="O141" s="445"/>
      <c r="P141" s="418"/>
      <c r="Q141" s="445"/>
      <c r="R141" s="418"/>
      <c r="S141" s="445"/>
      <c r="T141" s="416">
        <f t="shared" si="59"/>
        <v>0</v>
      </c>
      <c r="U141" s="445"/>
      <c r="V141" s="418"/>
      <c r="W141" s="445"/>
      <c r="X141" s="416">
        <f t="shared" si="60"/>
        <v>0</v>
      </c>
      <c r="Y141" s="445"/>
      <c r="Z141" s="418"/>
      <c r="AA141" s="446">
        <f t="shared" si="61"/>
        <v>0</v>
      </c>
      <c r="AB141" s="416">
        <f t="shared" si="61"/>
        <v>0</v>
      </c>
      <c r="AC141" s="445"/>
      <c r="AD141" s="416">
        <f t="shared" si="62"/>
        <v>0</v>
      </c>
      <c r="AE141" s="446">
        <f t="shared" si="63"/>
        <v>0</v>
      </c>
      <c r="AF141" s="416">
        <f t="shared" si="63"/>
        <v>0</v>
      </c>
      <c r="AG141" s="445"/>
      <c r="AH141" s="416">
        <f t="shared" si="64"/>
        <v>0</v>
      </c>
      <c r="AI141" s="446">
        <f t="shared" si="65"/>
        <v>0</v>
      </c>
      <c r="AJ141" s="416">
        <f t="shared" si="65"/>
        <v>0</v>
      </c>
      <c r="AK141" s="445"/>
      <c r="AL141" s="416">
        <f t="shared" si="66"/>
        <v>0</v>
      </c>
      <c r="AM141" s="446">
        <f t="shared" si="67"/>
        <v>0</v>
      </c>
      <c r="AN141" s="416">
        <f t="shared" si="67"/>
        <v>0</v>
      </c>
      <c r="AO141" s="447"/>
      <c r="AP141" s="423">
        <f t="shared" si="68"/>
        <v>0</v>
      </c>
    </row>
    <row r="142" spans="1:42" ht="25">
      <c r="A142" s="490" t="s">
        <v>784</v>
      </c>
      <c r="B142" s="55" t="s">
        <v>367</v>
      </c>
      <c r="C142" s="186" t="s">
        <v>10</v>
      </c>
      <c r="D142" s="472">
        <v>1</v>
      </c>
      <c r="E142" s="473">
        <v>30000</v>
      </c>
      <c r="F142" s="489">
        <f>D142*E142</f>
        <v>30000</v>
      </c>
      <c r="G142" s="419"/>
      <c r="H142" s="418"/>
      <c r="I142" s="445"/>
      <c r="J142" s="418"/>
      <c r="K142" s="445"/>
      <c r="L142" s="418"/>
      <c r="M142" s="445"/>
      <c r="N142" s="418"/>
      <c r="O142" s="445"/>
      <c r="P142" s="418"/>
      <c r="Q142" s="445"/>
      <c r="R142" s="418">
        <f>Q142*E142</f>
        <v>0</v>
      </c>
      <c r="S142" s="445"/>
      <c r="T142" s="416">
        <f t="shared" si="59"/>
        <v>0</v>
      </c>
      <c r="U142" s="445"/>
      <c r="V142" s="418">
        <f>U142*I142</f>
        <v>0</v>
      </c>
      <c r="W142" s="445"/>
      <c r="X142" s="416">
        <f t="shared" si="60"/>
        <v>0</v>
      </c>
      <c r="Y142" s="445"/>
      <c r="Z142" s="418">
        <f>Y142*M142</f>
        <v>0</v>
      </c>
      <c r="AA142" s="446">
        <f t="shared" si="61"/>
        <v>0</v>
      </c>
      <c r="AB142" s="416">
        <f t="shared" si="61"/>
        <v>0</v>
      </c>
      <c r="AC142" s="445"/>
      <c r="AD142" s="416">
        <f t="shared" si="62"/>
        <v>0</v>
      </c>
      <c r="AE142" s="446">
        <f t="shared" si="63"/>
        <v>0</v>
      </c>
      <c r="AF142" s="416">
        <f t="shared" si="63"/>
        <v>0</v>
      </c>
      <c r="AG142" s="445"/>
      <c r="AH142" s="416">
        <f t="shared" si="64"/>
        <v>0</v>
      </c>
      <c r="AI142" s="446">
        <f t="shared" si="65"/>
        <v>0</v>
      </c>
      <c r="AJ142" s="416">
        <f t="shared" si="65"/>
        <v>0</v>
      </c>
      <c r="AK142" s="445"/>
      <c r="AL142" s="416">
        <f t="shared" si="66"/>
        <v>0</v>
      </c>
      <c r="AM142" s="446">
        <f t="shared" si="67"/>
        <v>0</v>
      </c>
      <c r="AN142" s="416">
        <f t="shared" si="67"/>
        <v>0</v>
      </c>
      <c r="AO142" s="447"/>
      <c r="AP142" s="423">
        <f t="shared" si="68"/>
        <v>0</v>
      </c>
    </row>
    <row r="143" spans="1:42" ht="12.5">
      <c r="A143" s="490"/>
      <c r="B143" s="55"/>
      <c r="C143" s="186"/>
      <c r="D143" s="472"/>
      <c r="E143" s="473"/>
      <c r="F143" s="489"/>
      <c r="G143" s="419"/>
      <c r="H143" s="418"/>
      <c r="I143" s="445"/>
      <c r="J143" s="418"/>
      <c r="K143" s="445"/>
      <c r="L143" s="418"/>
      <c r="M143" s="445"/>
      <c r="N143" s="418"/>
      <c r="O143" s="445"/>
      <c r="P143" s="418"/>
      <c r="Q143" s="445"/>
      <c r="R143" s="418"/>
      <c r="S143" s="445"/>
      <c r="T143" s="416"/>
      <c r="U143" s="445"/>
      <c r="V143" s="418"/>
      <c r="W143" s="445"/>
      <c r="X143" s="416"/>
      <c r="Y143" s="445"/>
      <c r="Z143" s="418"/>
      <c r="AA143" s="446"/>
      <c r="AB143" s="416"/>
      <c r="AC143" s="445"/>
      <c r="AD143" s="416"/>
      <c r="AE143" s="446"/>
      <c r="AF143" s="416"/>
      <c r="AG143" s="445"/>
      <c r="AH143" s="416"/>
      <c r="AI143" s="446"/>
      <c r="AJ143" s="416"/>
      <c r="AK143" s="445"/>
      <c r="AL143" s="416"/>
      <c r="AM143" s="446"/>
      <c r="AN143" s="416"/>
      <c r="AO143" s="447"/>
      <c r="AP143" s="423"/>
    </row>
    <row r="144" spans="1:42" ht="25">
      <c r="A144" s="490" t="s">
        <v>785</v>
      </c>
      <c r="B144" s="55" t="s">
        <v>786</v>
      </c>
      <c r="C144" s="186" t="s">
        <v>10</v>
      </c>
      <c r="D144" s="472">
        <v>1</v>
      </c>
      <c r="E144" s="473">
        <v>40000</v>
      </c>
      <c r="F144" s="489">
        <f>D144*E144</f>
        <v>40000</v>
      </c>
      <c r="G144" s="419"/>
      <c r="H144" s="418"/>
      <c r="I144" s="445"/>
      <c r="J144" s="418"/>
      <c r="K144" s="445"/>
      <c r="L144" s="418"/>
      <c r="M144" s="445"/>
      <c r="N144" s="418"/>
      <c r="O144" s="445"/>
      <c r="P144" s="418"/>
      <c r="Q144" s="445"/>
      <c r="R144" s="418"/>
      <c r="S144" s="445"/>
      <c r="T144" s="416"/>
      <c r="U144" s="445"/>
      <c r="V144" s="418"/>
      <c r="W144" s="445"/>
      <c r="X144" s="416"/>
      <c r="Y144" s="445"/>
      <c r="Z144" s="418"/>
      <c r="AA144" s="446"/>
      <c r="AB144" s="416"/>
      <c r="AC144" s="445"/>
      <c r="AD144" s="416"/>
      <c r="AE144" s="446"/>
      <c r="AF144" s="416"/>
      <c r="AG144" s="445"/>
      <c r="AH144" s="416"/>
      <c r="AI144" s="446"/>
      <c r="AJ144" s="416"/>
      <c r="AK144" s="445"/>
      <c r="AL144" s="416"/>
      <c r="AM144" s="446"/>
      <c r="AN144" s="416"/>
      <c r="AO144" s="447"/>
      <c r="AP144" s="423"/>
    </row>
    <row r="145" spans="1:42" ht="12.5">
      <c r="A145" s="490"/>
      <c r="B145" s="55"/>
      <c r="C145" s="374"/>
      <c r="D145" s="472"/>
      <c r="E145" s="473"/>
      <c r="F145" s="491"/>
      <c r="G145" s="419"/>
      <c r="H145" s="418"/>
      <c r="I145" s="445"/>
      <c r="J145" s="418"/>
      <c r="K145" s="445"/>
      <c r="L145" s="418"/>
      <c r="M145" s="445"/>
      <c r="N145" s="418"/>
      <c r="O145" s="445"/>
      <c r="P145" s="418"/>
      <c r="Q145" s="445"/>
      <c r="R145" s="418"/>
      <c r="S145" s="445"/>
      <c r="T145" s="416">
        <f t="shared" si="59"/>
        <v>0</v>
      </c>
      <c r="U145" s="445"/>
      <c r="V145" s="418"/>
      <c r="W145" s="445"/>
      <c r="X145" s="416">
        <f t="shared" si="60"/>
        <v>0</v>
      </c>
      <c r="Y145" s="445"/>
      <c r="Z145" s="418"/>
      <c r="AA145" s="446">
        <f t="shared" si="61"/>
        <v>0</v>
      </c>
      <c r="AB145" s="416">
        <f t="shared" si="61"/>
        <v>0</v>
      </c>
      <c r="AC145" s="445"/>
      <c r="AD145" s="416">
        <f t="shared" si="62"/>
        <v>0</v>
      </c>
      <c r="AE145" s="446">
        <f t="shared" si="63"/>
        <v>0</v>
      </c>
      <c r="AF145" s="416">
        <f t="shared" si="63"/>
        <v>0</v>
      </c>
      <c r="AG145" s="445"/>
      <c r="AH145" s="416">
        <f t="shared" si="64"/>
        <v>0</v>
      </c>
      <c r="AI145" s="446">
        <f t="shared" si="65"/>
        <v>0</v>
      </c>
      <c r="AJ145" s="416">
        <f t="shared" si="65"/>
        <v>0</v>
      </c>
      <c r="AK145" s="445"/>
      <c r="AL145" s="416">
        <f t="shared" si="66"/>
        <v>0</v>
      </c>
      <c r="AM145" s="446">
        <f t="shared" si="67"/>
        <v>0</v>
      </c>
      <c r="AN145" s="416">
        <f t="shared" si="67"/>
        <v>0</v>
      </c>
      <c r="AO145" s="447"/>
      <c r="AP145" s="423">
        <f t="shared" si="68"/>
        <v>0</v>
      </c>
    </row>
    <row r="146" spans="1:42" ht="37.5">
      <c r="A146" s="490" t="s">
        <v>787</v>
      </c>
      <c r="B146" s="55" t="s">
        <v>788</v>
      </c>
      <c r="C146" s="186" t="s">
        <v>10</v>
      </c>
      <c r="D146" s="472">
        <v>1</v>
      </c>
      <c r="E146" s="473">
        <v>60000</v>
      </c>
      <c r="F146" s="489">
        <f>D146*E146</f>
        <v>60000</v>
      </c>
      <c r="G146" s="419"/>
      <c r="H146" s="418"/>
      <c r="I146" s="445"/>
      <c r="J146" s="418"/>
      <c r="K146" s="445"/>
      <c r="L146" s="418"/>
      <c r="M146" s="445"/>
      <c r="N146" s="418"/>
      <c r="O146" s="445"/>
      <c r="P146" s="418"/>
      <c r="Q146" s="445"/>
      <c r="R146" s="418"/>
      <c r="S146" s="445"/>
      <c r="T146" s="416">
        <f t="shared" si="59"/>
        <v>0</v>
      </c>
      <c r="U146" s="445"/>
      <c r="V146" s="418"/>
      <c r="W146" s="445"/>
      <c r="X146" s="416">
        <f t="shared" si="60"/>
        <v>0</v>
      </c>
      <c r="Y146" s="445"/>
      <c r="Z146" s="418"/>
      <c r="AA146" s="446">
        <f t="shared" si="61"/>
        <v>0</v>
      </c>
      <c r="AB146" s="416">
        <f t="shared" si="61"/>
        <v>0</v>
      </c>
      <c r="AC146" s="445"/>
      <c r="AD146" s="416">
        <f t="shared" si="62"/>
        <v>0</v>
      </c>
      <c r="AE146" s="446">
        <f t="shared" si="63"/>
        <v>0</v>
      </c>
      <c r="AF146" s="416">
        <f t="shared" si="63"/>
        <v>0</v>
      </c>
      <c r="AG146" s="445"/>
      <c r="AH146" s="416">
        <f t="shared" si="64"/>
        <v>0</v>
      </c>
      <c r="AI146" s="446">
        <f t="shared" si="65"/>
        <v>0</v>
      </c>
      <c r="AJ146" s="416">
        <f t="shared" si="65"/>
        <v>0</v>
      </c>
      <c r="AK146" s="445"/>
      <c r="AL146" s="416">
        <f t="shared" si="66"/>
        <v>0</v>
      </c>
      <c r="AM146" s="446">
        <f t="shared" si="67"/>
        <v>0</v>
      </c>
      <c r="AN146" s="416">
        <f t="shared" si="67"/>
        <v>0</v>
      </c>
      <c r="AO146" s="447"/>
      <c r="AP146" s="423">
        <f t="shared" si="68"/>
        <v>0</v>
      </c>
    </row>
    <row r="147" spans="1:42" ht="12.5">
      <c r="A147" s="490"/>
      <c r="B147" s="55"/>
      <c r="C147" s="186"/>
      <c r="D147" s="472"/>
      <c r="E147" s="473"/>
      <c r="F147" s="489"/>
      <c r="G147" s="419"/>
      <c r="H147" s="418"/>
      <c r="I147" s="445"/>
      <c r="J147" s="418"/>
      <c r="K147" s="445"/>
      <c r="L147" s="418"/>
      <c r="M147" s="445"/>
      <c r="N147" s="418"/>
      <c r="O147" s="445"/>
      <c r="P147" s="418"/>
      <c r="Q147" s="445"/>
      <c r="R147" s="418"/>
      <c r="S147" s="445"/>
      <c r="T147" s="416"/>
      <c r="U147" s="445"/>
      <c r="V147" s="418"/>
      <c r="W147" s="445"/>
      <c r="X147" s="416"/>
      <c r="Y147" s="445"/>
      <c r="Z147" s="418"/>
      <c r="AA147" s="446"/>
      <c r="AB147" s="416"/>
      <c r="AC147" s="445"/>
      <c r="AD147" s="416"/>
      <c r="AE147" s="446"/>
      <c r="AF147" s="416"/>
      <c r="AG147" s="445"/>
      <c r="AH147" s="416"/>
      <c r="AI147" s="446"/>
      <c r="AJ147" s="416"/>
      <c r="AK147" s="445"/>
      <c r="AL147" s="416"/>
      <c r="AM147" s="446"/>
      <c r="AN147" s="416"/>
      <c r="AO147" s="447"/>
      <c r="AP147" s="423"/>
    </row>
    <row r="148" spans="1:42" ht="12.5">
      <c r="A148" s="490"/>
      <c r="B148" s="55"/>
      <c r="C148" s="186"/>
      <c r="D148" s="472"/>
      <c r="E148" s="473"/>
      <c r="F148" s="489"/>
      <c r="G148" s="419"/>
      <c r="H148" s="418"/>
      <c r="I148" s="474"/>
      <c r="J148" s="418"/>
      <c r="K148" s="474"/>
      <c r="L148" s="418"/>
      <c r="M148" s="474"/>
      <c r="N148" s="418"/>
      <c r="O148" s="474"/>
      <c r="P148" s="418"/>
      <c r="Q148" s="474"/>
      <c r="R148" s="418"/>
      <c r="S148" s="474"/>
      <c r="T148" s="416"/>
      <c r="U148" s="474"/>
      <c r="V148" s="418"/>
      <c r="W148" s="474"/>
      <c r="X148" s="416"/>
      <c r="Y148" s="474"/>
      <c r="Z148" s="418"/>
      <c r="AA148" s="475"/>
      <c r="AB148" s="416"/>
      <c r="AC148" s="474"/>
      <c r="AD148" s="416"/>
      <c r="AE148" s="475"/>
      <c r="AF148" s="416"/>
      <c r="AG148" s="474"/>
      <c r="AH148" s="416"/>
      <c r="AI148" s="475"/>
      <c r="AJ148" s="416"/>
      <c r="AK148" s="474"/>
      <c r="AL148" s="416"/>
      <c r="AM148" s="475"/>
      <c r="AN148" s="416"/>
      <c r="AO148" s="476"/>
      <c r="AP148" s="423"/>
    </row>
    <row r="149" spans="1:42" ht="12.5">
      <c r="A149" s="490"/>
      <c r="B149" s="55"/>
      <c r="C149" s="186"/>
      <c r="D149" s="472"/>
      <c r="E149" s="473"/>
      <c r="F149" s="489"/>
      <c r="G149" s="419"/>
      <c r="H149" s="418"/>
      <c r="I149" s="445"/>
      <c r="J149" s="418"/>
      <c r="K149" s="445"/>
      <c r="L149" s="418"/>
      <c r="M149" s="445"/>
      <c r="N149" s="418"/>
      <c r="O149" s="445"/>
      <c r="P149" s="418"/>
      <c r="Q149" s="445"/>
      <c r="R149" s="418"/>
      <c r="S149" s="445"/>
      <c r="T149" s="416"/>
      <c r="U149" s="445"/>
      <c r="V149" s="418"/>
      <c r="W149" s="445"/>
      <c r="X149" s="416"/>
      <c r="Y149" s="445"/>
      <c r="Z149" s="418"/>
      <c r="AA149" s="446"/>
      <c r="AB149" s="416"/>
      <c r="AC149" s="445"/>
      <c r="AD149" s="416"/>
      <c r="AE149" s="446"/>
      <c r="AF149" s="416"/>
      <c r="AG149" s="445"/>
      <c r="AH149" s="416"/>
      <c r="AI149" s="446"/>
      <c r="AJ149" s="416"/>
      <c r="AK149" s="445"/>
      <c r="AL149" s="416"/>
      <c r="AM149" s="446"/>
      <c r="AN149" s="416"/>
      <c r="AO149" s="447"/>
      <c r="AP149" s="423"/>
    </row>
    <row r="150" spans="1:42" ht="13" thickBot="1">
      <c r="A150" s="435"/>
      <c r="B150" s="146"/>
      <c r="C150" s="186"/>
      <c r="D150" s="182"/>
      <c r="E150" s="187"/>
      <c r="F150" s="502"/>
      <c r="G150" s="242"/>
      <c r="H150" s="239"/>
      <c r="I150" s="442"/>
      <c r="J150" s="239"/>
      <c r="K150" s="442"/>
      <c r="L150" s="239"/>
      <c r="M150" s="442"/>
      <c r="N150" s="239"/>
      <c r="O150" s="442"/>
      <c r="P150" s="239"/>
      <c r="Q150" s="442"/>
      <c r="R150" s="239"/>
      <c r="S150" s="442"/>
      <c r="T150" s="236"/>
      <c r="U150" s="442"/>
      <c r="V150" s="239"/>
      <c r="W150" s="442"/>
      <c r="X150" s="236"/>
      <c r="Y150" s="442"/>
      <c r="Z150" s="239"/>
      <c r="AA150" s="443"/>
      <c r="AB150" s="236"/>
      <c r="AC150" s="442"/>
      <c r="AD150" s="236"/>
      <c r="AE150" s="443"/>
      <c r="AF150" s="236"/>
      <c r="AG150" s="442"/>
      <c r="AH150" s="236"/>
      <c r="AI150" s="443"/>
      <c r="AJ150" s="236"/>
      <c r="AK150" s="442"/>
      <c r="AL150" s="236"/>
      <c r="AM150" s="443"/>
      <c r="AN150" s="236"/>
      <c r="AO150" s="444"/>
      <c r="AP150" s="424"/>
    </row>
    <row r="151" spans="1:42" s="19" customFormat="1" ht="13.5" thickTop="1">
      <c r="A151" s="35"/>
      <c r="B151" s="36"/>
      <c r="C151" s="92"/>
      <c r="D151" s="37"/>
      <c r="E151" s="93"/>
      <c r="F151" s="47"/>
      <c r="AP151" s="421"/>
    </row>
    <row r="152" spans="1:42" s="19" customFormat="1" ht="12.75" customHeight="1">
      <c r="A152" s="1554" t="s">
        <v>901</v>
      </c>
      <c r="B152" s="1555"/>
      <c r="C152" s="1555"/>
      <c r="D152" s="1555"/>
      <c r="E152" s="1556"/>
      <c r="F152" s="409">
        <f>SUM(F111:F150)</f>
        <v>652235</v>
      </c>
      <c r="AP152" s="421"/>
    </row>
    <row r="153" spans="1:42" s="19" customFormat="1" ht="15" customHeight="1" thickBot="1">
      <c r="A153" s="38"/>
      <c r="B153" s="39"/>
      <c r="C153" s="94"/>
      <c r="D153" s="40"/>
      <c r="E153" s="95"/>
      <c r="F153" s="48"/>
      <c r="AP153" s="421"/>
    </row>
    <row r="154" spans="1:42" s="19" customFormat="1" ht="13" thickTop="1">
      <c r="A154" s="137"/>
      <c r="B154" s="43"/>
      <c r="C154" s="137"/>
      <c r="D154" s="401"/>
      <c r="E154" s="402"/>
      <c r="F154" s="403"/>
      <c r="AP154" s="421"/>
    </row>
    <row r="155" spans="1:42" s="19" customFormat="1" ht="12.75" customHeight="1">
      <c r="A155" s="1548" t="s">
        <v>741</v>
      </c>
      <c r="B155" s="1548"/>
      <c r="C155" s="1548"/>
      <c r="D155" s="1548"/>
      <c r="E155" s="1548"/>
      <c r="F155" s="1548"/>
      <c r="AP155" s="421"/>
    </row>
    <row r="156" spans="1:42" s="19" customFormat="1" ht="13" thickBot="1">
      <c r="A156" s="121"/>
      <c r="B156" s="404"/>
      <c r="C156" s="405"/>
      <c r="D156" s="406"/>
      <c r="E156" s="45"/>
      <c r="F156" s="407"/>
      <c r="AP156" s="421"/>
    </row>
    <row r="157" spans="1:42" s="19" customFormat="1" ht="27" thickTop="1" thickBot="1">
      <c r="A157" s="2" t="s">
        <v>21</v>
      </c>
      <c r="B157" s="53" t="s">
        <v>5</v>
      </c>
      <c r="C157" s="29" t="s">
        <v>6</v>
      </c>
      <c r="D157" s="30" t="s">
        <v>1</v>
      </c>
      <c r="E157" s="31" t="s">
        <v>7</v>
      </c>
      <c r="F157" s="50" t="s">
        <v>8</v>
      </c>
      <c r="AP157" s="421"/>
    </row>
    <row r="158" spans="1:42" s="19" customFormat="1" ht="13.5" thickTop="1">
      <c r="A158" s="471"/>
      <c r="B158" s="20"/>
      <c r="C158" s="32"/>
      <c r="D158" s="33"/>
      <c r="E158" s="34"/>
      <c r="F158" s="49"/>
      <c r="AP158" s="421"/>
    </row>
    <row r="159" spans="1:42" ht="12.5">
      <c r="A159" s="492"/>
      <c r="B159" s="381" t="s">
        <v>372</v>
      </c>
      <c r="C159" s="374"/>
      <c r="D159" s="472"/>
      <c r="E159" s="473"/>
      <c r="F159" s="491"/>
      <c r="G159" s="419"/>
      <c r="H159" s="418"/>
      <c r="I159" s="445"/>
      <c r="J159" s="418"/>
      <c r="K159" s="445"/>
      <c r="L159" s="418"/>
      <c r="M159" s="445"/>
      <c r="N159" s="418"/>
      <c r="O159" s="445"/>
      <c r="P159" s="418"/>
      <c r="Q159" s="445"/>
      <c r="R159" s="418"/>
      <c r="S159" s="445"/>
      <c r="T159" s="416">
        <f>R159+P159</f>
        <v>0</v>
      </c>
      <c r="U159" s="445"/>
      <c r="V159" s="418"/>
      <c r="W159" s="445"/>
      <c r="X159" s="416">
        <f>V159+T159</f>
        <v>0</v>
      </c>
      <c r="Y159" s="445"/>
      <c r="Z159" s="418"/>
      <c r="AA159" s="446">
        <f t="shared" ref="AA159:AB163" si="69">Y159+W159</f>
        <v>0</v>
      </c>
      <c r="AB159" s="416">
        <f t="shared" si="69"/>
        <v>0</v>
      </c>
      <c r="AC159" s="445"/>
      <c r="AD159" s="416">
        <f>AC159*E159</f>
        <v>0</v>
      </c>
      <c r="AE159" s="446">
        <f t="shared" ref="AE159:AF163" si="70">AC159+AA159</f>
        <v>0</v>
      </c>
      <c r="AF159" s="416">
        <f t="shared" si="70"/>
        <v>0</v>
      </c>
      <c r="AG159" s="445"/>
      <c r="AH159" s="416">
        <f>AG159*E159</f>
        <v>0</v>
      </c>
      <c r="AI159" s="446">
        <f t="shared" ref="AI159:AJ163" si="71">AG159+AE159</f>
        <v>0</v>
      </c>
      <c r="AJ159" s="416">
        <f t="shared" si="71"/>
        <v>0</v>
      </c>
      <c r="AK159" s="445"/>
      <c r="AL159" s="416">
        <f>AK159*E159</f>
        <v>0</v>
      </c>
      <c r="AM159" s="446">
        <f t="shared" ref="AM159:AN163" si="72">AK159+AI159</f>
        <v>0</v>
      </c>
      <c r="AN159" s="416">
        <f t="shared" si="72"/>
        <v>0</v>
      </c>
      <c r="AO159" s="447"/>
      <c r="AP159" s="423">
        <f>AO159*E159</f>
        <v>0</v>
      </c>
    </row>
    <row r="160" spans="1:42" ht="12.5">
      <c r="A160" s="490"/>
      <c r="B160" s="378"/>
      <c r="C160" s="374"/>
      <c r="D160" s="472"/>
      <c r="E160" s="473"/>
      <c r="F160" s="491"/>
      <c r="G160" s="419"/>
      <c r="H160" s="418"/>
      <c r="I160" s="445"/>
      <c r="J160" s="418"/>
      <c r="K160" s="445"/>
      <c r="L160" s="418"/>
      <c r="M160" s="445"/>
      <c r="N160" s="418"/>
      <c r="O160" s="445"/>
      <c r="P160" s="418"/>
      <c r="Q160" s="445"/>
      <c r="R160" s="418"/>
      <c r="S160" s="445"/>
      <c r="T160" s="416">
        <f>R160+P160</f>
        <v>0</v>
      </c>
      <c r="U160" s="445"/>
      <c r="V160" s="418"/>
      <c r="W160" s="445"/>
      <c r="X160" s="416">
        <f>V160+T160</f>
        <v>0</v>
      </c>
      <c r="Y160" s="445"/>
      <c r="Z160" s="418"/>
      <c r="AA160" s="446">
        <f t="shared" si="69"/>
        <v>0</v>
      </c>
      <c r="AB160" s="416">
        <f t="shared" si="69"/>
        <v>0</v>
      </c>
      <c r="AC160" s="445"/>
      <c r="AD160" s="416">
        <f>AC160*E160</f>
        <v>0</v>
      </c>
      <c r="AE160" s="446">
        <f t="shared" si="70"/>
        <v>0</v>
      </c>
      <c r="AF160" s="416">
        <f t="shared" si="70"/>
        <v>0</v>
      </c>
      <c r="AG160" s="445"/>
      <c r="AH160" s="416">
        <f>AG160*E160</f>
        <v>0</v>
      </c>
      <c r="AI160" s="446">
        <f t="shared" si="71"/>
        <v>0</v>
      </c>
      <c r="AJ160" s="416">
        <f t="shared" si="71"/>
        <v>0</v>
      </c>
      <c r="AK160" s="445"/>
      <c r="AL160" s="416">
        <f>AK160*E160</f>
        <v>0</v>
      </c>
      <c r="AM160" s="446">
        <f t="shared" si="72"/>
        <v>0</v>
      </c>
      <c r="AN160" s="416">
        <f t="shared" si="72"/>
        <v>0</v>
      </c>
      <c r="AO160" s="447"/>
      <c r="AP160" s="423">
        <f>AO160*E160</f>
        <v>0</v>
      </c>
    </row>
    <row r="161" spans="1:42" ht="37.5">
      <c r="A161" s="490"/>
      <c r="B161" s="381" t="s">
        <v>789</v>
      </c>
      <c r="C161" s="186"/>
      <c r="D161" s="472"/>
      <c r="E161" s="473"/>
      <c r="F161" s="489"/>
      <c r="G161" s="419"/>
      <c r="H161" s="418"/>
      <c r="I161" s="445"/>
      <c r="J161" s="418"/>
      <c r="K161" s="445"/>
      <c r="L161" s="418"/>
      <c r="M161" s="445"/>
      <c r="N161" s="418"/>
      <c r="O161" s="445"/>
      <c r="P161" s="418"/>
      <c r="Q161" s="445"/>
      <c r="R161" s="418"/>
      <c r="S161" s="445"/>
      <c r="T161" s="416">
        <f>R161+P161</f>
        <v>0</v>
      </c>
      <c r="U161" s="445"/>
      <c r="V161" s="418"/>
      <c r="W161" s="445"/>
      <c r="X161" s="416">
        <f>V161+T161</f>
        <v>0</v>
      </c>
      <c r="Y161" s="445"/>
      <c r="Z161" s="418"/>
      <c r="AA161" s="446">
        <f t="shared" si="69"/>
        <v>0</v>
      </c>
      <c r="AB161" s="416">
        <f t="shared" si="69"/>
        <v>0</v>
      </c>
      <c r="AC161" s="445"/>
      <c r="AD161" s="416">
        <f>AC161*E161</f>
        <v>0</v>
      </c>
      <c r="AE161" s="446">
        <f t="shared" si="70"/>
        <v>0</v>
      </c>
      <c r="AF161" s="416">
        <f t="shared" si="70"/>
        <v>0</v>
      </c>
      <c r="AG161" s="445"/>
      <c r="AH161" s="416">
        <f>AG161*E161</f>
        <v>0</v>
      </c>
      <c r="AI161" s="446">
        <f t="shared" si="71"/>
        <v>0</v>
      </c>
      <c r="AJ161" s="416">
        <f t="shared" si="71"/>
        <v>0</v>
      </c>
      <c r="AK161" s="445"/>
      <c r="AL161" s="416">
        <f>AK161*E161</f>
        <v>0</v>
      </c>
      <c r="AM161" s="446">
        <f t="shared" si="72"/>
        <v>0</v>
      </c>
      <c r="AN161" s="416">
        <f t="shared" si="72"/>
        <v>0</v>
      </c>
      <c r="AO161" s="447"/>
      <c r="AP161" s="423">
        <f>AO161*E161</f>
        <v>0</v>
      </c>
    </row>
    <row r="162" spans="1:42" ht="12.5">
      <c r="A162" s="490"/>
      <c r="B162" s="378"/>
      <c r="C162" s="374"/>
      <c r="D162" s="472"/>
      <c r="E162" s="473"/>
      <c r="F162" s="491"/>
      <c r="G162" s="419"/>
      <c r="H162" s="418"/>
      <c r="I162" s="445"/>
      <c r="J162" s="418"/>
      <c r="K162" s="445"/>
      <c r="L162" s="418"/>
      <c r="M162" s="445"/>
      <c r="N162" s="418"/>
      <c r="O162" s="445"/>
      <c r="P162" s="418"/>
      <c r="Q162" s="445"/>
      <c r="R162" s="418"/>
      <c r="S162" s="445"/>
      <c r="T162" s="416">
        <f>R162+P162</f>
        <v>0</v>
      </c>
      <c r="U162" s="445"/>
      <c r="V162" s="418"/>
      <c r="W162" s="445"/>
      <c r="X162" s="416">
        <f>V162+T162</f>
        <v>0</v>
      </c>
      <c r="Y162" s="445"/>
      <c r="Z162" s="418"/>
      <c r="AA162" s="446">
        <f t="shared" si="69"/>
        <v>0</v>
      </c>
      <c r="AB162" s="416">
        <f t="shared" si="69"/>
        <v>0</v>
      </c>
      <c r="AC162" s="445"/>
      <c r="AD162" s="416">
        <f>AC162*E162</f>
        <v>0</v>
      </c>
      <c r="AE162" s="446">
        <f t="shared" si="70"/>
        <v>0</v>
      </c>
      <c r="AF162" s="416">
        <f t="shared" si="70"/>
        <v>0</v>
      </c>
      <c r="AG162" s="445"/>
      <c r="AH162" s="416">
        <f>AG162*E162</f>
        <v>0</v>
      </c>
      <c r="AI162" s="446">
        <f t="shared" si="71"/>
        <v>0</v>
      </c>
      <c r="AJ162" s="416">
        <f t="shared" si="71"/>
        <v>0</v>
      </c>
      <c r="AK162" s="445"/>
      <c r="AL162" s="416">
        <f>AK162*E162</f>
        <v>0</v>
      </c>
      <c r="AM162" s="446">
        <f t="shared" si="72"/>
        <v>0</v>
      </c>
      <c r="AN162" s="416">
        <f t="shared" si="72"/>
        <v>0</v>
      </c>
      <c r="AO162" s="447"/>
      <c r="AP162" s="423">
        <f>AO162*E162</f>
        <v>0</v>
      </c>
    </row>
    <row r="163" spans="1:42" ht="12.5">
      <c r="A163" s="490" t="s">
        <v>375</v>
      </c>
      <c r="B163" s="380" t="s">
        <v>376</v>
      </c>
      <c r="C163" s="186" t="s">
        <v>10</v>
      </c>
      <c r="D163" s="472">
        <v>1</v>
      </c>
      <c r="E163" s="473">
        <v>56250</v>
      </c>
      <c r="F163" s="489">
        <f>D163*E163</f>
        <v>56250</v>
      </c>
      <c r="G163" s="419"/>
      <c r="H163" s="418"/>
      <c r="I163" s="445"/>
      <c r="J163" s="418"/>
      <c r="K163" s="445"/>
      <c r="L163" s="418"/>
      <c r="M163" s="445"/>
      <c r="N163" s="418"/>
      <c r="O163" s="445"/>
      <c r="P163" s="418"/>
      <c r="Q163" s="445"/>
      <c r="R163" s="418"/>
      <c r="S163" s="445"/>
      <c r="T163" s="416">
        <f>R163+P163</f>
        <v>0</v>
      </c>
      <c r="U163" s="445"/>
      <c r="V163" s="418"/>
      <c r="W163" s="445"/>
      <c r="X163" s="416">
        <f>V163+T163</f>
        <v>0</v>
      </c>
      <c r="Y163" s="445"/>
      <c r="Z163" s="418"/>
      <c r="AA163" s="446">
        <f t="shared" si="69"/>
        <v>0</v>
      </c>
      <c r="AB163" s="416">
        <f t="shared" si="69"/>
        <v>0</v>
      </c>
      <c r="AC163" s="445"/>
      <c r="AD163" s="416">
        <f>AC163*E163</f>
        <v>0</v>
      </c>
      <c r="AE163" s="446">
        <f t="shared" si="70"/>
        <v>0</v>
      </c>
      <c r="AF163" s="416">
        <f t="shared" si="70"/>
        <v>0</v>
      </c>
      <c r="AG163" s="445"/>
      <c r="AH163" s="416">
        <f>AG163*E163</f>
        <v>0</v>
      </c>
      <c r="AI163" s="446">
        <f t="shared" si="71"/>
        <v>0</v>
      </c>
      <c r="AJ163" s="416">
        <f t="shared" si="71"/>
        <v>0</v>
      </c>
      <c r="AK163" s="445"/>
      <c r="AL163" s="416">
        <f>AK163*E163</f>
        <v>0</v>
      </c>
      <c r="AM163" s="446">
        <f t="shared" si="72"/>
        <v>0</v>
      </c>
      <c r="AN163" s="416">
        <f t="shared" si="72"/>
        <v>0</v>
      </c>
      <c r="AO163" s="447"/>
      <c r="AP163" s="423">
        <f>AO163*E163</f>
        <v>0</v>
      </c>
    </row>
    <row r="164" spans="1:42" ht="12.5">
      <c r="A164" s="490"/>
      <c r="B164" s="392"/>
      <c r="C164" s="186"/>
      <c r="D164" s="472"/>
      <c r="E164" s="473"/>
      <c r="F164" s="489"/>
      <c r="G164" s="419"/>
      <c r="H164" s="418"/>
      <c r="I164" s="445"/>
      <c r="J164" s="418"/>
      <c r="K164" s="445"/>
      <c r="L164" s="418"/>
      <c r="M164" s="445"/>
      <c r="N164" s="418"/>
      <c r="O164" s="445"/>
      <c r="P164" s="418"/>
      <c r="Q164" s="445"/>
      <c r="R164" s="418"/>
      <c r="S164" s="445"/>
      <c r="T164" s="416"/>
      <c r="U164" s="445"/>
      <c r="V164" s="418"/>
      <c r="W164" s="445"/>
      <c r="X164" s="416"/>
      <c r="Y164" s="445"/>
      <c r="Z164" s="418"/>
      <c r="AA164" s="446"/>
      <c r="AB164" s="416"/>
      <c r="AC164" s="445"/>
      <c r="AD164" s="416"/>
      <c r="AE164" s="446"/>
      <c r="AF164" s="416"/>
      <c r="AG164" s="445"/>
      <c r="AH164" s="416"/>
      <c r="AI164" s="446"/>
      <c r="AJ164" s="416"/>
      <c r="AK164" s="445"/>
      <c r="AL164" s="416"/>
      <c r="AM164" s="446"/>
      <c r="AN164" s="416"/>
      <c r="AO164" s="447"/>
      <c r="AP164" s="423"/>
    </row>
    <row r="165" spans="1:42" ht="12.5">
      <c r="A165" s="492"/>
      <c r="B165" s="381" t="s">
        <v>790</v>
      </c>
      <c r="C165" s="374"/>
      <c r="D165" s="472"/>
      <c r="E165" s="487"/>
      <c r="F165" s="488"/>
      <c r="G165" s="419"/>
      <c r="H165" s="418"/>
      <c r="I165" s="445"/>
      <c r="J165" s="418"/>
      <c r="K165" s="445"/>
      <c r="L165" s="418"/>
      <c r="M165" s="445"/>
      <c r="N165" s="418"/>
      <c r="O165" s="445"/>
      <c r="P165" s="418"/>
      <c r="Q165" s="445"/>
      <c r="R165" s="418"/>
      <c r="S165" s="445"/>
      <c r="T165" s="416">
        <f>R165+P165</f>
        <v>0</v>
      </c>
      <c r="U165" s="445"/>
      <c r="V165" s="418"/>
      <c r="W165" s="445"/>
      <c r="X165" s="416">
        <f>V165+T165</f>
        <v>0</v>
      </c>
      <c r="Y165" s="445"/>
      <c r="Z165" s="418"/>
      <c r="AA165" s="446">
        <f t="shared" ref="AA165:AB172" si="73">Y165+W165</f>
        <v>0</v>
      </c>
      <c r="AB165" s="416">
        <f t="shared" si="73"/>
        <v>0</v>
      </c>
      <c r="AC165" s="445"/>
      <c r="AD165" s="416">
        <f>AC165*E165</f>
        <v>0</v>
      </c>
      <c r="AE165" s="446">
        <f t="shared" ref="AE165:AF172" si="74">AC165+AA165</f>
        <v>0</v>
      </c>
      <c r="AF165" s="416">
        <f t="shared" si="74"/>
        <v>0</v>
      </c>
      <c r="AG165" s="445"/>
      <c r="AH165" s="416">
        <f>AG165*E165</f>
        <v>0</v>
      </c>
      <c r="AI165" s="446">
        <f t="shared" ref="AI165:AJ172" si="75">AG165+AE165</f>
        <v>0</v>
      </c>
      <c r="AJ165" s="416">
        <f t="shared" si="75"/>
        <v>0</v>
      </c>
      <c r="AK165" s="445"/>
      <c r="AL165" s="416">
        <f>AK165*E165</f>
        <v>0</v>
      </c>
      <c r="AM165" s="446">
        <f t="shared" ref="AM165:AN169" si="76">AK165+AI165</f>
        <v>0</v>
      </c>
      <c r="AN165" s="416">
        <f t="shared" si="76"/>
        <v>0</v>
      </c>
      <c r="AO165" s="447"/>
      <c r="AP165" s="423">
        <f>AO165*E165</f>
        <v>0</v>
      </c>
    </row>
    <row r="166" spans="1:42" ht="12.5">
      <c r="A166" s="490"/>
      <c r="B166" s="378"/>
      <c r="C166" s="374"/>
      <c r="D166" s="472"/>
      <c r="E166" s="473"/>
      <c r="F166" s="491"/>
      <c r="G166" s="419"/>
      <c r="H166" s="418"/>
      <c r="I166" s="445"/>
      <c r="J166" s="418"/>
      <c r="K166" s="445"/>
      <c r="L166" s="418"/>
      <c r="M166" s="445"/>
      <c r="N166" s="418"/>
      <c r="O166" s="445"/>
      <c r="P166" s="418"/>
      <c r="Q166" s="445"/>
      <c r="R166" s="418"/>
      <c r="S166" s="445"/>
      <c r="T166" s="416">
        <f>R166+P166</f>
        <v>0</v>
      </c>
      <c r="U166" s="445"/>
      <c r="V166" s="418"/>
      <c r="W166" s="445"/>
      <c r="X166" s="416">
        <f>V166+T166</f>
        <v>0</v>
      </c>
      <c r="Y166" s="445"/>
      <c r="Z166" s="418"/>
      <c r="AA166" s="446">
        <f t="shared" si="73"/>
        <v>0</v>
      </c>
      <c r="AB166" s="416">
        <f t="shared" si="73"/>
        <v>0</v>
      </c>
      <c r="AC166" s="445"/>
      <c r="AD166" s="416">
        <f>AC166*E166</f>
        <v>0</v>
      </c>
      <c r="AE166" s="446">
        <f t="shared" si="74"/>
        <v>0</v>
      </c>
      <c r="AF166" s="416">
        <f t="shared" si="74"/>
        <v>0</v>
      </c>
      <c r="AG166" s="445"/>
      <c r="AH166" s="416">
        <f>AG166*E166</f>
        <v>0</v>
      </c>
      <c r="AI166" s="446">
        <f t="shared" si="75"/>
        <v>0</v>
      </c>
      <c r="AJ166" s="416">
        <f t="shared" si="75"/>
        <v>0</v>
      </c>
      <c r="AK166" s="445"/>
      <c r="AL166" s="416">
        <f>AK166*E166</f>
        <v>0</v>
      </c>
      <c r="AM166" s="446">
        <f t="shared" si="76"/>
        <v>0</v>
      </c>
      <c r="AN166" s="416">
        <f t="shared" si="76"/>
        <v>0</v>
      </c>
      <c r="AO166" s="447"/>
      <c r="AP166" s="423">
        <f>AO166*E166</f>
        <v>0</v>
      </c>
    </row>
    <row r="167" spans="1:42" ht="12.5">
      <c r="A167" s="490" t="s">
        <v>791</v>
      </c>
      <c r="B167" s="380" t="s">
        <v>792</v>
      </c>
      <c r="C167" s="186" t="s">
        <v>10</v>
      </c>
      <c r="D167" s="472">
        <v>1</v>
      </c>
      <c r="E167" s="473">
        <v>2000</v>
      </c>
      <c r="F167" s="489">
        <f>D167*E167</f>
        <v>2000</v>
      </c>
      <c r="G167" s="419"/>
      <c r="H167" s="418"/>
      <c r="I167" s="445"/>
      <c r="J167" s="418"/>
      <c r="K167" s="445"/>
      <c r="L167" s="418"/>
      <c r="M167" s="445"/>
      <c r="N167" s="418"/>
      <c r="O167" s="445"/>
      <c r="P167" s="418"/>
      <c r="Q167" s="445"/>
      <c r="R167" s="418"/>
      <c r="S167" s="445"/>
      <c r="T167" s="416">
        <f>R167+P167</f>
        <v>0</v>
      </c>
      <c r="U167" s="445"/>
      <c r="V167" s="418"/>
      <c r="W167" s="445"/>
      <c r="X167" s="416">
        <f>V167+T167</f>
        <v>0</v>
      </c>
      <c r="Y167" s="445"/>
      <c r="Z167" s="418"/>
      <c r="AA167" s="446">
        <f t="shared" si="73"/>
        <v>0</v>
      </c>
      <c r="AB167" s="416">
        <f t="shared" si="73"/>
        <v>0</v>
      </c>
      <c r="AC167" s="445"/>
      <c r="AD167" s="416">
        <f>AC167*E167</f>
        <v>0</v>
      </c>
      <c r="AE167" s="446">
        <f t="shared" si="74"/>
        <v>0</v>
      </c>
      <c r="AF167" s="416">
        <f t="shared" si="74"/>
        <v>0</v>
      </c>
      <c r="AG167" s="445"/>
      <c r="AH167" s="416">
        <f>AG167*E167</f>
        <v>0</v>
      </c>
      <c r="AI167" s="446">
        <f t="shared" si="75"/>
        <v>0</v>
      </c>
      <c r="AJ167" s="416">
        <f t="shared" si="75"/>
        <v>0</v>
      </c>
      <c r="AK167" s="445"/>
      <c r="AL167" s="416">
        <f>AK167*E167</f>
        <v>0</v>
      </c>
      <c r="AM167" s="446">
        <f t="shared" si="76"/>
        <v>0</v>
      </c>
      <c r="AN167" s="416">
        <f t="shared" si="76"/>
        <v>0</v>
      </c>
      <c r="AO167" s="447"/>
      <c r="AP167" s="423">
        <f>AO167*E167</f>
        <v>0</v>
      </c>
    </row>
    <row r="168" spans="1:42" ht="12.5">
      <c r="A168" s="490"/>
      <c r="B168" s="378"/>
      <c r="C168" s="374"/>
      <c r="D168" s="472"/>
      <c r="E168" s="473"/>
      <c r="F168" s="491"/>
      <c r="G168" s="419"/>
      <c r="H168" s="418"/>
      <c r="I168" s="445"/>
      <c r="J168" s="418"/>
      <c r="K168" s="445"/>
      <c r="L168" s="418"/>
      <c r="M168" s="445"/>
      <c r="N168" s="418"/>
      <c r="O168" s="445"/>
      <c r="P168" s="418"/>
      <c r="Q168" s="445"/>
      <c r="R168" s="418"/>
      <c r="S168" s="445"/>
      <c r="T168" s="416">
        <f>R168+P168</f>
        <v>0</v>
      </c>
      <c r="U168" s="445"/>
      <c r="V168" s="418"/>
      <c r="W168" s="445"/>
      <c r="X168" s="416">
        <f>V168+T168</f>
        <v>0</v>
      </c>
      <c r="Y168" s="445"/>
      <c r="Z168" s="418"/>
      <c r="AA168" s="446">
        <f t="shared" si="73"/>
        <v>0</v>
      </c>
      <c r="AB168" s="416">
        <f t="shared" si="73"/>
        <v>0</v>
      </c>
      <c r="AC168" s="445"/>
      <c r="AD168" s="416">
        <f>AC168*E168</f>
        <v>0</v>
      </c>
      <c r="AE168" s="446">
        <f t="shared" si="74"/>
        <v>0</v>
      </c>
      <c r="AF168" s="416">
        <f t="shared" si="74"/>
        <v>0</v>
      </c>
      <c r="AG168" s="445"/>
      <c r="AH168" s="416">
        <f>AG168*E168</f>
        <v>0</v>
      </c>
      <c r="AI168" s="446">
        <f t="shared" si="75"/>
        <v>0</v>
      </c>
      <c r="AJ168" s="416">
        <f t="shared" si="75"/>
        <v>0</v>
      </c>
      <c r="AK168" s="445"/>
      <c r="AL168" s="416">
        <f>AK168*E168</f>
        <v>0</v>
      </c>
      <c r="AM168" s="446">
        <f t="shared" si="76"/>
        <v>0</v>
      </c>
      <c r="AN168" s="416">
        <f t="shared" si="76"/>
        <v>0</v>
      </c>
      <c r="AO168" s="447"/>
      <c r="AP168" s="423">
        <f>AO168*E168</f>
        <v>0</v>
      </c>
    </row>
    <row r="169" spans="1:42" ht="12.5">
      <c r="A169" s="490" t="s">
        <v>793</v>
      </c>
      <c r="B169" s="380" t="s">
        <v>794</v>
      </c>
      <c r="C169" s="186" t="s">
        <v>10</v>
      </c>
      <c r="D169" s="472">
        <v>1</v>
      </c>
      <c r="E169" s="473">
        <v>2000</v>
      </c>
      <c r="F169" s="489">
        <f>D169*E169</f>
        <v>2000</v>
      </c>
      <c r="G169" s="419"/>
      <c r="H169" s="418"/>
      <c r="I169" s="445"/>
      <c r="J169" s="418"/>
      <c r="K169" s="445"/>
      <c r="L169" s="418"/>
      <c r="M169" s="445"/>
      <c r="N169" s="418"/>
      <c r="O169" s="445"/>
      <c r="P169" s="418"/>
      <c r="Q169" s="445"/>
      <c r="R169" s="418"/>
      <c r="S169" s="445"/>
      <c r="T169" s="416">
        <f>R169+P169</f>
        <v>0</v>
      </c>
      <c r="U169" s="445"/>
      <c r="V169" s="418"/>
      <c r="W169" s="445"/>
      <c r="X169" s="416">
        <f>V169+T169</f>
        <v>0</v>
      </c>
      <c r="Y169" s="445"/>
      <c r="Z169" s="418"/>
      <c r="AA169" s="446">
        <f t="shared" si="73"/>
        <v>0</v>
      </c>
      <c r="AB169" s="416">
        <f t="shared" si="73"/>
        <v>0</v>
      </c>
      <c r="AC169" s="445"/>
      <c r="AD169" s="416">
        <f>AC169*E169</f>
        <v>0</v>
      </c>
      <c r="AE169" s="446">
        <f t="shared" si="74"/>
        <v>0</v>
      </c>
      <c r="AF169" s="416">
        <f t="shared" si="74"/>
        <v>0</v>
      </c>
      <c r="AG169" s="445"/>
      <c r="AH169" s="416">
        <f>AG169*E169</f>
        <v>0</v>
      </c>
      <c r="AI169" s="446">
        <f t="shared" si="75"/>
        <v>0</v>
      </c>
      <c r="AJ169" s="416">
        <f t="shared" si="75"/>
        <v>0</v>
      </c>
      <c r="AK169" s="445"/>
      <c r="AL169" s="416">
        <f>AK169*E169</f>
        <v>0</v>
      </c>
      <c r="AM169" s="446">
        <f t="shared" si="76"/>
        <v>0</v>
      </c>
      <c r="AN169" s="416">
        <f t="shared" si="76"/>
        <v>0</v>
      </c>
      <c r="AO169" s="447"/>
      <c r="AP169" s="423">
        <f>AO169*E169</f>
        <v>0</v>
      </c>
    </row>
    <row r="170" spans="1:42" ht="12.5">
      <c r="A170" s="490"/>
      <c r="B170" s="380"/>
      <c r="C170" s="186"/>
      <c r="D170" s="472"/>
      <c r="E170" s="473"/>
      <c r="F170" s="489"/>
      <c r="G170" s="419"/>
      <c r="H170" s="418"/>
      <c r="I170" s="445"/>
      <c r="J170" s="418"/>
      <c r="K170" s="445"/>
      <c r="L170" s="418"/>
      <c r="M170" s="445"/>
      <c r="N170" s="418"/>
      <c r="O170" s="445"/>
      <c r="P170" s="418"/>
      <c r="Q170" s="445"/>
      <c r="R170" s="418"/>
      <c r="S170" s="445"/>
      <c r="T170" s="416"/>
      <c r="U170" s="445"/>
      <c r="V170" s="418"/>
      <c r="W170" s="445"/>
      <c r="X170" s="416"/>
      <c r="Y170" s="445"/>
      <c r="Z170" s="418"/>
      <c r="AA170" s="446"/>
      <c r="AB170" s="416"/>
      <c r="AC170" s="445"/>
      <c r="AD170" s="416"/>
      <c r="AE170" s="446"/>
      <c r="AF170" s="416"/>
      <c r="AG170" s="445"/>
      <c r="AH170" s="416"/>
      <c r="AI170" s="446"/>
      <c r="AJ170" s="416"/>
      <c r="AK170" s="445"/>
      <c r="AL170" s="416"/>
      <c r="AM170" s="446"/>
      <c r="AN170" s="416"/>
      <c r="AO170" s="447"/>
      <c r="AP170" s="423"/>
    </row>
    <row r="171" spans="1:42" ht="12.5">
      <c r="A171" s="490" t="s">
        <v>795</v>
      </c>
      <c r="B171" s="380" t="s">
        <v>796</v>
      </c>
      <c r="C171" s="186" t="s">
        <v>10</v>
      </c>
      <c r="D171" s="472">
        <f>ROUNDUP(650/200+2,0)</f>
        <v>6</v>
      </c>
      <c r="E171" s="473">
        <v>2000</v>
      </c>
      <c r="F171" s="489">
        <f>D171*E171</f>
        <v>12000</v>
      </c>
      <c r="G171" s="419"/>
      <c r="H171" s="418"/>
      <c r="I171" s="445"/>
      <c r="J171" s="418"/>
      <c r="K171" s="445"/>
      <c r="L171" s="418"/>
      <c r="M171" s="445"/>
      <c r="N171" s="418"/>
      <c r="O171" s="445"/>
      <c r="P171" s="418"/>
      <c r="Q171" s="445"/>
      <c r="R171" s="418"/>
      <c r="S171" s="445"/>
      <c r="T171" s="416">
        <f>R171+P171</f>
        <v>0</v>
      </c>
      <c r="U171" s="445"/>
      <c r="V171" s="418"/>
      <c r="W171" s="445"/>
      <c r="X171" s="416">
        <f>V171+T171</f>
        <v>0</v>
      </c>
      <c r="Y171" s="445"/>
      <c r="Z171" s="418"/>
      <c r="AA171" s="446">
        <f t="shared" si="73"/>
        <v>0</v>
      </c>
      <c r="AB171" s="416">
        <f t="shared" si="73"/>
        <v>0</v>
      </c>
      <c r="AC171" s="445"/>
      <c r="AD171" s="416">
        <f>AC171*E171</f>
        <v>0</v>
      </c>
      <c r="AE171" s="446">
        <f t="shared" si="74"/>
        <v>0</v>
      </c>
      <c r="AF171" s="416">
        <f t="shared" si="74"/>
        <v>0</v>
      </c>
      <c r="AG171" s="445"/>
      <c r="AH171" s="416">
        <f>AG171*E171</f>
        <v>0</v>
      </c>
      <c r="AI171" s="446">
        <f t="shared" si="75"/>
        <v>0</v>
      </c>
      <c r="AJ171" s="416">
        <f t="shared" si="75"/>
        <v>0</v>
      </c>
      <c r="AK171" s="445"/>
      <c r="AL171" s="416">
        <f>AK171*E171</f>
        <v>0</v>
      </c>
      <c r="AM171" s="446">
        <f t="shared" ref="AM171:AN173" si="77">AK171+AI171</f>
        <v>0</v>
      </c>
      <c r="AN171" s="416">
        <f t="shared" si="77"/>
        <v>0</v>
      </c>
      <c r="AO171" s="447"/>
      <c r="AP171" s="423">
        <f>AO171*E171</f>
        <v>0</v>
      </c>
    </row>
    <row r="172" spans="1:42" ht="13">
      <c r="A172" s="490"/>
      <c r="B172" s="375"/>
      <c r="C172" s="374"/>
      <c r="D172" s="484"/>
      <c r="E172" s="473"/>
      <c r="F172" s="491"/>
      <c r="G172" s="419"/>
      <c r="H172" s="418"/>
      <c r="I172" s="445"/>
      <c r="J172" s="418"/>
      <c r="K172" s="445"/>
      <c r="L172" s="418"/>
      <c r="M172" s="445"/>
      <c r="N172" s="418"/>
      <c r="O172" s="445"/>
      <c r="P172" s="418"/>
      <c r="Q172" s="445"/>
      <c r="R172" s="418"/>
      <c r="S172" s="445"/>
      <c r="T172" s="416">
        <f>R172+P172</f>
        <v>0</v>
      </c>
      <c r="U172" s="445"/>
      <c r="V172" s="418"/>
      <c r="W172" s="445"/>
      <c r="X172" s="416">
        <f>V172+T172</f>
        <v>0</v>
      </c>
      <c r="Y172" s="445"/>
      <c r="Z172" s="418"/>
      <c r="AA172" s="446">
        <f t="shared" si="73"/>
        <v>0</v>
      </c>
      <c r="AB172" s="416">
        <f t="shared" si="73"/>
        <v>0</v>
      </c>
      <c r="AC172" s="445"/>
      <c r="AD172" s="416">
        <f>AC172*E172</f>
        <v>0</v>
      </c>
      <c r="AE172" s="446">
        <f t="shared" si="74"/>
        <v>0</v>
      </c>
      <c r="AF172" s="416">
        <f t="shared" si="74"/>
        <v>0</v>
      </c>
      <c r="AG172" s="445"/>
      <c r="AH172" s="416">
        <f>AG172*E172</f>
        <v>0</v>
      </c>
      <c r="AI172" s="446">
        <f t="shared" si="75"/>
        <v>0</v>
      </c>
      <c r="AJ172" s="416">
        <f t="shared" si="75"/>
        <v>0</v>
      </c>
      <c r="AK172" s="445"/>
      <c r="AL172" s="416">
        <f>AK172*E172</f>
        <v>0</v>
      </c>
      <c r="AM172" s="446">
        <f t="shared" si="77"/>
        <v>0</v>
      </c>
      <c r="AN172" s="416">
        <f t="shared" si="77"/>
        <v>0</v>
      </c>
      <c r="AO172" s="447"/>
      <c r="AP172" s="423">
        <f>AO172*E172</f>
        <v>0</v>
      </c>
    </row>
    <row r="173" spans="1:42" ht="12.5">
      <c r="A173" s="490" t="s">
        <v>797</v>
      </c>
      <c r="B173" s="380" t="s">
        <v>798</v>
      </c>
      <c r="C173" s="186" t="s">
        <v>10</v>
      </c>
      <c r="D173" s="472">
        <v>1</v>
      </c>
      <c r="E173" s="473">
        <v>2000</v>
      </c>
      <c r="F173" s="489">
        <f>D173*E173</f>
        <v>2000</v>
      </c>
      <c r="G173" s="419"/>
      <c r="H173" s="418"/>
      <c r="I173" s="445"/>
      <c r="J173" s="418"/>
      <c r="K173" s="445"/>
      <c r="L173" s="418"/>
      <c r="M173" s="445"/>
      <c r="N173" s="418"/>
      <c r="O173" s="445"/>
      <c r="P173" s="418"/>
      <c r="Q173" s="445"/>
      <c r="R173" s="418"/>
      <c r="S173" s="445"/>
      <c r="T173" s="416">
        <f>R173+P173</f>
        <v>0</v>
      </c>
      <c r="U173" s="445"/>
      <c r="V173" s="418"/>
      <c r="W173" s="445"/>
      <c r="X173" s="416">
        <f>V173+T173</f>
        <v>0</v>
      </c>
      <c r="Y173" s="445"/>
      <c r="Z173" s="418"/>
      <c r="AA173" s="446">
        <f>Y173+W173</f>
        <v>0</v>
      </c>
      <c r="AB173" s="416">
        <f>Z173+X173</f>
        <v>0</v>
      </c>
      <c r="AC173" s="445"/>
      <c r="AD173" s="416">
        <f>AC173*E173</f>
        <v>0</v>
      </c>
      <c r="AE173" s="446">
        <f>AC173+AA173</f>
        <v>0</v>
      </c>
      <c r="AF173" s="416">
        <f>AD173+AB173</f>
        <v>0</v>
      </c>
      <c r="AG173" s="445"/>
      <c r="AH173" s="416">
        <f>AG173*E173</f>
        <v>0</v>
      </c>
      <c r="AI173" s="446">
        <f>AG173+AE173</f>
        <v>0</v>
      </c>
      <c r="AJ173" s="416">
        <f>AH173+AF173</f>
        <v>0</v>
      </c>
      <c r="AK173" s="445"/>
      <c r="AL173" s="416">
        <f>AK173*E173</f>
        <v>0</v>
      </c>
      <c r="AM173" s="446">
        <f t="shared" si="77"/>
        <v>0</v>
      </c>
      <c r="AN173" s="416">
        <f t="shared" si="77"/>
        <v>0</v>
      </c>
      <c r="AO173" s="447"/>
      <c r="AP173" s="423">
        <f>AO173*E173</f>
        <v>0</v>
      </c>
    </row>
    <row r="174" spans="1:42" ht="12.5">
      <c r="A174" s="490"/>
      <c r="B174" s="380"/>
      <c r="C174" s="186"/>
      <c r="D174" s="472"/>
      <c r="E174" s="473"/>
      <c r="F174" s="489"/>
      <c r="G174" s="419"/>
      <c r="H174" s="418"/>
      <c r="I174" s="445"/>
      <c r="J174" s="418"/>
      <c r="K174" s="445"/>
      <c r="L174" s="418"/>
      <c r="M174" s="445"/>
      <c r="N174" s="418"/>
      <c r="O174" s="445"/>
      <c r="P174" s="418"/>
      <c r="Q174" s="445"/>
      <c r="R174" s="418"/>
      <c r="S174" s="445"/>
      <c r="T174" s="416"/>
      <c r="U174" s="445"/>
      <c r="V174" s="418"/>
      <c r="W174" s="445"/>
      <c r="X174" s="416"/>
      <c r="Y174" s="445"/>
      <c r="Z174" s="418"/>
      <c r="AA174" s="446"/>
      <c r="AB174" s="416"/>
      <c r="AC174" s="445"/>
      <c r="AD174" s="416"/>
      <c r="AE174" s="446"/>
      <c r="AF174" s="416"/>
      <c r="AG174" s="445"/>
      <c r="AH174" s="416"/>
      <c r="AI174" s="446"/>
      <c r="AJ174" s="416"/>
      <c r="AK174" s="445"/>
      <c r="AL174" s="416"/>
      <c r="AM174" s="446"/>
      <c r="AN174" s="416"/>
      <c r="AO174" s="447"/>
      <c r="AP174" s="423"/>
    </row>
    <row r="175" spans="1:42" ht="26">
      <c r="A175" s="492"/>
      <c r="B175" s="54" t="s">
        <v>799</v>
      </c>
      <c r="C175" s="374"/>
      <c r="D175" s="472"/>
      <c r="E175" s="487"/>
      <c r="F175" s="488"/>
      <c r="G175" s="419"/>
      <c r="H175" s="418"/>
      <c r="I175" s="445"/>
      <c r="J175" s="418"/>
      <c r="K175" s="445"/>
      <c r="L175" s="418"/>
      <c r="M175" s="445"/>
      <c r="N175" s="418"/>
      <c r="O175" s="445"/>
      <c r="P175" s="418"/>
      <c r="Q175" s="445"/>
      <c r="R175" s="418"/>
      <c r="S175" s="445"/>
      <c r="T175" s="416">
        <f>R175+P175</f>
        <v>0</v>
      </c>
      <c r="U175" s="445"/>
      <c r="V175" s="418"/>
      <c r="W175" s="445"/>
      <c r="X175" s="416">
        <f>V175+T175</f>
        <v>0</v>
      </c>
      <c r="Y175" s="445"/>
      <c r="Z175" s="418"/>
      <c r="AA175" s="446">
        <f>Y175+W175</f>
        <v>0</v>
      </c>
      <c r="AB175" s="416">
        <f>Z175+X175</f>
        <v>0</v>
      </c>
      <c r="AC175" s="445"/>
      <c r="AD175" s="416">
        <f>AC175*E175</f>
        <v>0</v>
      </c>
      <c r="AE175" s="446">
        <f>AC175+AA175</f>
        <v>0</v>
      </c>
      <c r="AF175" s="416">
        <f>AD175+AB175</f>
        <v>0</v>
      </c>
      <c r="AG175" s="445"/>
      <c r="AH175" s="416">
        <f>AG175*E175</f>
        <v>0</v>
      </c>
      <c r="AI175" s="446">
        <f>AG175+AE175</f>
        <v>0</v>
      </c>
      <c r="AJ175" s="416">
        <f>AH175+AF175</f>
        <v>0</v>
      </c>
      <c r="AK175" s="445"/>
      <c r="AL175" s="416">
        <f>AK175*E175</f>
        <v>0</v>
      </c>
      <c r="AM175" s="446">
        <f>AK175+AI175</f>
        <v>0</v>
      </c>
      <c r="AN175" s="416">
        <f>AL175+AJ175</f>
        <v>0</v>
      </c>
      <c r="AO175" s="447"/>
      <c r="AP175" s="423">
        <f>AO175*E175</f>
        <v>0</v>
      </c>
    </row>
    <row r="176" spans="1:42" ht="13">
      <c r="A176" s="492"/>
      <c r="B176" s="54"/>
      <c r="C176" s="374"/>
      <c r="D176" s="472"/>
      <c r="E176" s="487"/>
      <c r="F176" s="488"/>
      <c r="G176" s="419"/>
      <c r="H176" s="418"/>
      <c r="I176" s="445"/>
      <c r="J176" s="418"/>
      <c r="K176" s="445"/>
      <c r="L176" s="418"/>
      <c r="M176" s="445"/>
      <c r="N176" s="418"/>
      <c r="O176" s="445"/>
      <c r="P176" s="418"/>
      <c r="Q176" s="445"/>
      <c r="R176" s="418"/>
      <c r="S176" s="445"/>
      <c r="T176" s="416"/>
      <c r="U176" s="445"/>
      <c r="V176" s="418"/>
      <c r="W176" s="445"/>
      <c r="X176" s="416"/>
      <c r="Y176" s="445"/>
      <c r="Z176" s="418"/>
      <c r="AA176" s="446"/>
      <c r="AB176" s="416"/>
      <c r="AC176" s="445"/>
      <c r="AD176" s="416"/>
      <c r="AE176" s="446"/>
      <c r="AF176" s="416"/>
      <c r="AG176" s="445"/>
      <c r="AH176" s="416"/>
      <c r="AI176" s="446"/>
      <c r="AJ176" s="416"/>
      <c r="AK176" s="445"/>
      <c r="AL176" s="416"/>
      <c r="AM176" s="446"/>
      <c r="AN176" s="416"/>
      <c r="AO176" s="447"/>
      <c r="AP176" s="423"/>
    </row>
    <row r="177" spans="1:45" ht="12.5">
      <c r="A177" s="492"/>
      <c r="B177" s="381" t="s">
        <v>405</v>
      </c>
      <c r="C177" s="374"/>
      <c r="D177" s="472"/>
      <c r="E177" s="487"/>
      <c r="F177" s="488"/>
      <c r="G177" s="419"/>
      <c r="H177" s="418"/>
      <c r="I177" s="445"/>
      <c r="J177" s="418"/>
      <c r="K177" s="445"/>
      <c r="L177" s="418"/>
      <c r="M177" s="445"/>
      <c r="N177" s="418"/>
      <c r="O177" s="445"/>
      <c r="P177" s="418"/>
      <c r="Q177" s="445"/>
      <c r="R177" s="418"/>
      <c r="S177" s="445"/>
      <c r="T177" s="416"/>
      <c r="U177" s="445"/>
      <c r="V177" s="418"/>
      <c r="W177" s="445"/>
      <c r="X177" s="416"/>
      <c r="Y177" s="445"/>
      <c r="Z177" s="418"/>
      <c r="AA177" s="446">
        <f>Y177+W177</f>
        <v>0</v>
      </c>
      <c r="AB177" s="416"/>
      <c r="AC177" s="445"/>
      <c r="AD177" s="416">
        <f>AC177*E177</f>
        <v>0</v>
      </c>
      <c r="AE177" s="446">
        <f>AC177+AA177</f>
        <v>0</v>
      </c>
      <c r="AF177" s="416"/>
      <c r="AG177" s="445"/>
      <c r="AH177" s="416">
        <f>AG177*E177</f>
        <v>0</v>
      </c>
      <c r="AI177" s="446">
        <f>AG177+AE177</f>
        <v>0</v>
      </c>
      <c r="AJ177" s="416"/>
      <c r="AK177" s="445"/>
      <c r="AL177" s="416">
        <f>AK177*E177</f>
        <v>0</v>
      </c>
      <c r="AM177" s="446">
        <f>AK177+AI177</f>
        <v>0</v>
      </c>
      <c r="AN177" s="416"/>
      <c r="AO177" s="447"/>
      <c r="AP177" s="423">
        <f>AO177*E177</f>
        <v>0</v>
      </c>
    </row>
    <row r="178" spans="1:45" ht="12.5">
      <c r="A178" s="490"/>
      <c r="B178" s="378"/>
      <c r="C178" s="374"/>
      <c r="D178" s="472"/>
      <c r="E178" s="473"/>
      <c r="F178" s="491"/>
      <c r="G178" s="419"/>
      <c r="H178" s="418"/>
      <c r="I178" s="445"/>
      <c r="J178" s="418"/>
      <c r="K178" s="445"/>
      <c r="L178" s="418"/>
      <c r="M178" s="445"/>
      <c r="N178" s="418"/>
      <c r="O178" s="445"/>
      <c r="P178" s="418"/>
      <c r="Q178" s="445"/>
      <c r="R178" s="418"/>
      <c r="S178" s="445"/>
      <c r="T178" s="416"/>
      <c r="U178" s="445"/>
      <c r="V178" s="418"/>
      <c r="W178" s="445"/>
      <c r="X178" s="416"/>
      <c r="Y178" s="445"/>
      <c r="Z178" s="418"/>
      <c r="AA178" s="446">
        <f>Y178+W178</f>
        <v>0</v>
      </c>
      <c r="AB178" s="416"/>
      <c r="AC178" s="445"/>
      <c r="AD178" s="416">
        <f>AC178*E178</f>
        <v>0</v>
      </c>
      <c r="AE178" s="446">
        <f>AC178+AA178</f>
        <v>0</v>
      </c>
      <c r="AF178" s="416"/>
      <c r="AG178" s="445"/>
      <c r="AH178" s="416">
        <f>AG178*E178</f>
        <v>0</v>
      </c>
      <c r="AI178" s="446">
        <f>AG178+AE178</f>
        <v>0</v>
      </c>
      <c r="AJ178" s="416"/>
      <c r="AK178" s="445"/>
      <c r="AL178" s="416">
        <f>AK178*E178</f>
        <v>0</v>
      </c>
      <c r="AM178" s="446">
        <f>AK178+AI178</f>
        <v>0</v>
      </c>
      <c r="AN178" s="416"/>
      <c r="AO178" s="447"/>
      <c r="AP178" s="423">
        <f>AO178*E178</f>
        <v>0</v>
      </c>
    </row>
    <row r="179" spans="1:45" ht="25">
      <c r="A179" s="490" t="s">
        <v>406</v>
      </c>
      <c r="B179" s="55" t="s">
        <v>407</v>
      </c>
      <c r="C179" s="186" t="s">
        <v>2</v>
      </c>
      <c r="D179" s="472">
        <f>650*1.2*0.5*0.5</f>
        <v>195</v>
      </c>
      <c r="E179" s="473">
        <v>1200</v>
      </c>
      <c r="F179" s="489">
        <f>D179*E179</f>
        <v>234000</v>
      </c>
      <c r="G179" s="419"/>
      <c r="H179" s="418"/>
      <c r="I179" s="445"/>
      <c r="J179" s="418"/>
      <c r="K179" s="445"/>
      <c r="L179" s="418"/>
      <c r="M179" s="445"/>
      <c r="N179" s="418"/>
      <c r="O179" s="445">
        <v>400</v>
      </c>
      <c r="P179" s="418">
        <f>O179*E179</f>
        <v>480000</v>
      </c>
      <c r="Q179" s="445">
        <v>0</v>
      </c>
      <c r="R179" s="418">
        <v>0</v>
      </c>
      <c r="S179" s="445">
        <f>Q179+O179</f>
        <v>400</v>
      </c>
      <c r="T179" s="416">
        <f>R179+P179</f>
        <v>480000</v>
      </c>
      <c r="U179" s="445">
        <v>760</v>
      </c>
      <c r="V179" s="418">
        <f>U179*E179</f>
        <v>912000</v>
      </c>
      <c r="W179" s="445">
        <f>U179+S179</f>
        <v>1160</v>
      </c>
      <c r="X179" s="416">
        <f>V179+T179</f>
        <v>1392000</v>
      </c>
      <c r="Y179" s="445"/>
      <c r="Z179" s="418">
        <f>Y179*I179</f>
        <v>0</v>
      </c>
      <c r="AA179" s="446">
        <f>Y179+W179</f>
        <v>1160</v>
      </c>
      <c r="AB179" s="416">
        <f>Z179+X179</f>
        <v>1392000</v>
      </c>
      <c r="AC179" s="445"/>
      <c r="AD179" s="416">
        <f>AC179*E179</f>
        <v>0</v>
      </c>
      <c r="AE179" s="446">
        <f>AC179+AA179</f>
        <v>1160</v>
      </c>
      <c r="AF179" s="416">
        <f>AD179+AB179</f>
        <v>1392000</v>
      </c>
      <c r="AG179" s="445"/>
      <c r="AH179" s="416">
        <f>AG179*E179</f>
        <v>0</v>
      </c>
      <c r="AI179" s="446">
        <f>AG179+AE179</f>
        <v>1160</v>
      </c>
      <c r="AJ179" s="416">
        <f>AH179+AF179</f>
        <v>1392000</v>
      </c>
      <c r="AK179" s="445"/>
      <c r="AL179" s="416">
        <f>AK179*E179</f>
        <v>0</v>
      </c>
      <c r="AM179" s="446">
        <f>AK179+AI179</f>
        <v>1160</v>
      </c>
      <c r="AN179" s="416">
        <f>AL179+AJ179</f>
        <v>1392000</v>
      </c>
      <c r="AO179" s="447"/>
      <c r="AP179" s="423">
        <f>AO179*E179</f>
        <v>0</v>
      </c>
    </row>
    <row r="180" spans="1:45" ht="12.5">
      <c r="A180" s="490"/>
      <c r="B180" s="55"/>
      <c r="C180" s="186"/>
      <c r="D180" s="472"/>
      <c r="E180" s="473"/>
      <c r="F180" s="489"/>
      <c r="G180" s="419"/>
      <c r="H180" s="418"/>
      <c r="I180" s="445"/>
      <c r="J180" s="418"/>
      <c r="K180" s="445"/>
      <c r="L180" s="418"/>
      <c r="M180" s="445"/>
      <c r="N180" s="418"/>
      <c r="O180" s="445"/>
      <c r="P180" s="418"/>
      <c r="Q180" s="445"/>
      <c r="R180" s="418"/>
      <c r="S180" s="445"/>
      <c r="T180" s="416"/>
      <c r="U180" s="445"/>
      <c r="V180" s="418"/>
      <c r="W180" s="445"/>
      <c r="X180" s="416"/>
      <c r="Y180" s="445"/>
      <c r="Z180" s="418"/>
      <c r="AA180" s="446"/>
      <c r="AB180" s="416"/>
      <c r="AC180" s="445"/>
      <c r="AD180" s="416"/>
      <c r="AE180" s="446"/>
      <c r="AF180" s="416"/>
      <c r="AG180" s="445"/>
      <c r="AH180" s="416"/>
      <c r="AI180" s="446"/>
      <c r="AJ180" s="416"/>
      <c r="AK180" s="445"/>
      <c r="AL180" s="416"/>
      <c r="AM180" s="446"/>
      <c r="AN180" s="416"/>
      <c r="AO180" s="447"/>
      <c r="AP180" s="423"/>
    </row>
    <row r="181" spans="1:45" ht="25">
      <c r="A181" s="490" t="s">
        <v>408</v>
      </c>
      <c r="B181" s="55" t="s">
        <v>409</v>
      </c>
      <c r="C181" s="186" t="s">
        <v>2</v>
      </c>
      <c r="D181" s="472">
        <f>1.8*1.8*1*3</f>
        <v>9.7200000000000006</v>
      </c>
      <c r="E181" s="473">
        <v>1200</v>
      </c>
      <c r="F181" s="489">
        <f>D181*E181</f>
        <v>11664</v>
      </c>
      <c r="G181" s="419"/>
      <c r="H181" s="418"/>
      <c r="I181" s="445"/>
      <c r="J181" s="418"/>
      <c r="K181" s="445"/>
      <c r="L181" s="418"/>
      <c r="M181" s="445"/>
      <c r="N181" s="418"/>
      <c r="O181" s="445">
        <v>400</v>
      </c>
      <c r="P181" s="418">
        <f>O181*E181</f>
        <v>480000</v>
      </c>
      <c r="Q181" s="445">
        <v>0</v>
      </c>
      <c r="R181" s="418">
        <v>0</v>
      </c>
      <c r="S181" s="445">
        <f>Q181+O181</f>
        <v>400</v>
      </c>
      <c r="T181" s="416">
        <f>R181+P181</f>
        <v>480000</v>
      </c>
      <c r="U181" s="445">
        <v>760</v>
      </c>
      <c r="V181" s="418">
        <f>U181*E181</f>
        <v>912000</v>
      </c>
      <c r="W181" s="445">
        <f>U181+S181</f>
        <v>1160</v>
      </c>
      <c r="X181" s="416">
        <f>V181+T181</f>
        <v>1392000</v>
      </c>
      <c r="Y181" s="445"/>
      <c r="Z181" s="418">
        <f>Y181*I181</f>
        <v>0</v>
      </c>
      <c r="AA181" s="446">
        <f>Y181+W181</f>
        <v>1160</v>
      </c>
      <c r="AB181" s="416">
        <f>Z181+X181</f>
        <v>1392000</v>
      </c>
      <c r="AC181" s="445"/>
      <c r="AD181" s="416">
        <f>AC181*E181</f>
        <v>0</v>
      </c>
      <c r="AE181" s="446">
        <f>AC181+AA181</f>
        <v>1160</v>
      </c>
      <c r="AF181" s="416">
        <f>AD181+AB181</f>
        <v>1392000</v>
      </c>
      <c r="AG181" s="445"/>
      <c r="AH181" s="416">
        <f>AG181*E181</f>
        <v>0</v>
      </c>
      <c r="AI181" s="446">
        <f>AG181+AE181</f>
        <v>1160</v>
      </c>
      <c r="AJ181" s="416">
        <f>AH181+AF181</f>
        <v>1392000</v>
      </c>
      <c r="AK181" s="445"/>
      <c r="AL181" s="416">
        <f>AK181*E181</f>
        <v>0</v>
      </c>
      <c r="AM181" s="446">
        <f>AK181+AI181</f>
        <v>1160</v>
      </c>
      <c r="AN181" s="416">
        <f>AL181+AJ181</f>
        <v>1392000</v>
      </c>
      <c r="AO181" s="447"/>
      <c r="AP181" s="423">
        <f>AO181*E181</f>
        <v>0</v>
      </c>
    </row>
    <row r="182" spans="1:45" ht="12.5">
      <c r="A182" s="490"/>
      <c r="B182" s="55"/>
      <c r="C182" s="186"/>
      <c r="D182" s="472"/>
      <c r="E182" s="473"/>
      <c r="F182" s="489"/>
      <c r="G182" s="419"/>
      <c r="H182" s="418"/>
      <c r="I182" s="445"/>
      <c r="J182" s="418"/>
      <c r="K182" s="445"/>
      <c r="L182" s="418"/>
      <c r="M182" s="445"/>
      <c r="N182" s="418"/>
      <c r="O182" s="445"/>
      <c r="P182" s="418"/>
      <c r="Q182" s="445"/>
      <c r="R182" s="418"/>
      <c r="S182" s="445"/>
      <c r="T182" s="416"/>
      <c r="U182" s="445"/>
      <c r="V182" s="418"/>
      <c r="W182" s="445"/>
      <c r="X182" s="416"/>
      <c r="Y182" s="445"/>
      <c r="Z182" s="418"/>
      <c r="AA182" s="446"/>
      <c r="AB182" s="416"/>
      <c r="AC182" s="445"/>
      <c r="AD182" s="416"/>
      <c r="AE182" s="446"/>
      <c r="AF182" s="416"/>
      <c r="AG182" s="445"/>
      <c r="AH182" s="416"/>
      <c r="AI182" s="446"/>
      <c r="AJ182" s="416"/>
      <c r="AK182" s="445"/>
      <c r="AL182" s="416"/>
      <c r="AM182" s="446"/>
      <c r="AN182" s="416"/>
      <c r="AO182" s="447"/>
      <c r="AP182" s="423"/>
    </row>
    <row r="183" spans="1:45" ht="12.5">
      <c r="A183" s="492"/>
      <c r="B183" s="381" t="s">
        <v>410</v>
      </c>
      <c r="C183" s="374"/>
      <c r="D183" s="472"/>
      <c r="E183" s="487"/>
      <c r="F183" s="488"/>
      <c r="G183" s="419"/>
      <c r="H183" s="418"/>
      <c r="I183" s="445"/>
      <c r="J183" s="418"/>
      <c r="K183" s="445"/>
      <c r="L183" s="418"/>
      <c r="M183" s="445"/>
      <c r="N183" s="418"/>
      <c r="O183" s="445"/>
      <c r="P183" s="418"/>
      <c r="Q183" s="445"/>
      <c r="R183" s="418"/>
      <c r="S183" s="445"/>
      <c r="T183" s="416">
        <f t="shared" ref="T183:T194" si="78">R183+P183</f>
        <v>0</v>
      </c>
      <c r="U183" s="445"/>
      <c r="V183" s="418"/>
      <c r="W183" s="445"/>
      <c r="X183" s="416">
        <f t="shared" ref="X183:X194" si="79">V183+T183</f>
        <v>0</v>
      </c>
      <c r="Y183" s="445"/>
      <c r="Z183" s="418"/>
      <c r="AA183" s="446">
        <f t="shared" ref="AA183:AB194" si="80">Y183+W183</f>
        <v>0</v>
      </c>
      <c r="AB183" s="416">
        <f t="shared" si="80"/>
        <v>0</v>
      </c>
      <c r="AC183" s="445"/>
      <c r="AD183" s="416">
        <f t="shared" ref="AD183:AD194" si="81">AC183*E183</f>
        <v>0</v>
      </c>
      <c r="AE183" s="446">
        <f t="shared" ref="AE183:AF194" si="82">AC183+AA183</f>
        <v>0</v>
      </c>
      <c r="AF183" s="416">
        <f t="shared" si="82"/>
        <v>0</v>
      </c>
      <c r="AG183" s="445"/>
      <c r="AH183" s="416">
        <f t="shared" ref="AH183:AH194" si="83">AG183*E183</f>
        <v>0</v>
      </c>
      <c r="AI183" s="446">
        <f t="shared" ref="AI183:AJ194" si="84">AG183+AE183</f>
        <v>0</v>
      </c>
      <c r="AJ183" s="416">
        <f t="shared" si="84"/>
        <v>0</v>
      </c>
      <c r="AK183" s="445"/>
      <c r="AL183" s="416">
        <f t="shared" ref="AL183:AL194" si="85">AK183*E183</f>
        <v>0</v>
      </c>
      <c r="AM183" s="446">
        <f t="shared" ref="AM183:AN194" si="86">AK183+AI183</f>
        <v>0</v>
      </c>
      <c r="AN183" s="416">
        <f t="shared" si="86"/>
        <v>0</v>
      </c>
      <c r="AO183" s="447"/>
      <c r="AP183" s="423">
        <f t="shared" ref="AP183:AP194" si="87">AO183*E183</f>
        <v>0</v>
      </c>
    </row>
    <row r="184" spans="1:45" ht="12.5">
      <c r="A184" s="490"/>
      <c r="B184" s="380"/>
      <c r="C184" s="374"/>
      <c r="D184" s="472"/>
      <c r="E184" s="487"/>
      <c r="F184" s="488"/>
      <c r="G184" s="419"/>
      <c r="H184" s="418"/>
      <c r="I184" s="445"/>
      <c r="J184" s="418"/>
      <c r="K184" s="445"/>
      <c r="L184" s="418"/>
      <c r="M184" s="445"/>
      <c r="N184" s="418"/>
      <c r="O184" s="445"/>
      <c r="P184" s="418"/>
      <c r="Q184" s="445"/>
      <c r="R184" s="418"/>
      <c r="S184" s="445"/>
      <c r="T184" s="416">
        <f t="shared" si="78"/>
        <v>0</v>
      </c>
      <c r="U184" s="445"/>
      <c r="V184" s="418"/>
      <c r="W184" s="445"/>
      <c r="X184" s="416">
        <f t="shared" si="79"/>
        <v>0</v>
      </c>
      <c r="Y184" s="445"/>
      <c r="Z184" s="418"/>
      <c r="AA184" s="446">
        <f t="shared" si="80"/>
        <v>0</v>
      </c>
      <c r="AB184" s="416">
        <f t="shared" si="80"/>
        <v>0</v>
      </c>
      <c r="AC184" s="445"/>
      <c r="AD184" s="416">
        <f t="shared" si="81"/>
        <v>0</v>
      </c>
      <c r="AE184" s="446">
        <f t="shared" si="82"/>
        <v>0</v>
      </c>
      <c r="AF184" s="416">
        <f t="shared" si="82"/>
        <v>0</v>
      </c>
      <c r="AG184" s="445"/>
      <c r="AH184" s="416">
        <f t="shared" si="83"/>
        <v>0</v>
      </c>
      <c r="AI184" s="446">
        <f t="shared" si="84"/>
        <v>0</v>
      </c>
      <c r="AJ184" s="416">
        <f t="shared" si="84"/>
        <v>0</v>
      </c>
      <c r="AK184" s="445"/>
      <c r="AL184" s="416">
        <f t="shared" si="85"/>
        <v>0</v>
      </c>
      <c r="AM184" s="446">
        <f t="shared" si="86"/>
        <v>0</v>
      </c>
      <c r="AN184" s="416">
        <f t="shared" si="86"/>
        <v>0</v>
      </c>
      <c r="AO184" s="447"/>
      <c r="AP184" s="423">
        <f t="shared" si="87"/>
        <v>0</v>
      </c>
    </row>
    <row r="185" spans="1:45" ht="25">
      <c r="A185" s="490" t="s">
        <v>411</v>
      </c>
      <c r="B185" s="28" t="s">
        <v>919</v>
      </c>
      <c r="C185" s="186" t="s">
        <v>9</v>
      </c>
      <c r="D185" s="472">
        <v>350</v>
      </c>
      <c r="E185" s="473">
        <v>505</v>
      </c>
      <c r="F185" s="489">
        <f>D185*E185</f>
        <v>176750</v>
      </c>
      <c r="G185" s="419"/>
      <c r="H185" s="418"/>
      <c r="I185" s="445">
        <v>2000</v>
      </c>
      <c r="J185" s="418">
        <f>E185*I185</f>
        <v>1010000</v>
      </c>
      <c r="K185" s="445">
        <f>I185+G185</f>
        <v>2000</v>
      </c>
      <c r="L185" s="418">
        <f>J185+H185</f>
        <v>1010000</v>
      </c>
      <c r="M185" s="445">
        <v>5500</v>
      </c>
      <c r="N185" s="418">
        <f>M185*E185</f>
        <v>2777500</v>
      </c>
      <c r="O185" s="445">
        <f>M185+K185</f>
        <v>7500</v>
      </c>
      <c r="P185" s="418">
        <f>O185*E185</f>
        <v>3787500</v>
      </c>
      <c r="Q185" s="445">
        <v>1800</v>
      </c>
      <c r="R185" s="418">
        <f>Q185*E185</f>
        <v>909000</v>
      </c>
      <c r="S185" s="445">
        <f>Q185+O185</f>
        <v>9300</v>
      </c>
      <c r="T185" s="416">
        <f t="shared" si="78"/>
        <v>4696500</v>
      </c>
      <c r="U185" s="445"/>
      <c r="V185" s="418">
        <f>U185*I185</f>
        <v>0</v>
      </c>
      <c r="W185" s="445">
        <f>U185+S185</f>
        <v>9300</v>
      </c>
      <c r="X185" s="416">
        <f t="shared" si="79"/>
        <v>4696500</v>
      </c>
      <c r="Y185" s="445">
        <v>0</v>
      </c>
      <c r="Z185" s="418">
        <f>Y185*E185</f>
        <v>0</v>
      </c>
      <c r="AA185" s="446">
        <f t="shared" si="80"/>
        <v>9300</v>
      </c>
      <c r="AB185" s="416">
        <f t="shared" si="80"/>
        <v>4696500</v>
      </c>
      <c r="AC185" s="445"/>
      <c r="AD185" s="416">
        <f t="shared" si="81"/>
        <v>0</v>
      </c>
      <c r="AE185" s="446">
        <f t="shared" si="82"/>
        <v>9300</v>
      </c>
      <c r="AF185" s="416">
        <f t="shared" si="82"/>
        <v>4696500</v>
      </c>
      <c r="AG185" s="445"/>
      <c r="AH185" s="416">
        <f t="shared" si="83"/>
        <v>0</v>
      </c>
      <c r="AI185" s="446">
        <f t="shared" si="84"/>
        <v>9300</v>
      </c>
      <c r="AJ185" s="416">
        <f t="shared" si="84"/>
        <v>4696500</v>
      </c>
      <c r="AK185" s="445"/>
      <c r="AL185" s="416">
        <f t="shared" si="85"/>
        <v>0</v>
      </c>
      <c r="AM185" s="446">
        <f t="shared" si="86"/>
        <v>9300</v>
      </c>
      <c r="AN185" s="416">
        <f t="shared" si="86"/>
        <v>4696500</v>
      </c>
      <c r="AO185" s="447">
        <v>460</v>
      </c>
      <c r="AP185" s="423">
        <f t="shared" si="87"/>
        <v>232300</v>
      </c>
    </row>
    <row r="186" spans="1:45" ht="12.5">
      <c r="A186" s="490"/>
      <c r="B186" s="28"/>
      <c r="C186" s="374"/>
      <c r="D186" s="472"/>
      <c r="E186" s="487"/>
      <c r="F186" s="488"/>
      <c r="G186" s="419"/>
      <c r="H186" s="418"/>
      <c r="I186" s="445"/>
      <c r="J186" s="418"/>
      <c r="K186" s="445"/>
      <c r="L186" s="418"/>
      <c r="M186" s="445"/>
      <c r="N186" s="418"/>
      <c r="O186" s="445"/>
      <c r="P186" s="418"/>
      <c r="Q186" s="445"/>
      <c r="R186" s="418"/>
      <c r="S186" s="445"/>
      <c r="T186" s="416">
        <f t="shared" si="78"/>
        <v>0</v>
      </c>
      <c r="U186" s="445"/>
      <c r="V186" s="418"/>
      <c r="W186" s="445"/>
      <c r="X186" s="416">
        <f t="shared" si="79"/>
        <v>0</v>
      </c>
      <c r="Y186" s="445"/>
      <c r="Z186" s="418"/>
      <c r="AA186" s="446">
        <f t="shared" si="80"/>
        <v>0</v>
      </c>
      <c r="AB186" s="416">
        <f t="shared" si="80"/>
        <v>0</v>
      </c>
      <c r="AC186" s="445"/>
      <c r="AD186" s="416">
        <f t="shared" si="81"/>
        <v>0</v>
      </c>
      <c r="AE186" s="446">
        <f t="shared" si="82"/>
        <v>0</v>
      </c>
      <c r="AF186" s="416">
        <f t="shared" si="82"/>
        <v>0</v>
      </c>
      <c r="AG186" s="445"/>
      <c r="AH186" s="416">
        <f t="shared" si="83"/>
        <v>0</v>
      </c>
      <c r="AI186" s="446">
        <f t="shared" si="84"/>
        <v>0</v>
      </c>
      <c r="AJ186" s="416">
        <f t="shared" si="84"/>
        <v>0</v>
      </c>
      <c r="AK186" s="445"/>
      <c r="AL186" s="416">
        <f t="shared" si="85"/>
        <v>0</v>
      </c>
      <c r="AM186" s="446">
        <f t="shared" si="86"/>
        <v>0</v>
      </c>
      <c r="AN186" s="416">
        <f t="shared" si="86"/>
        <v>0</v>
      </c>
      <c r="AO186" s="447"/>
      <c r="AP186" s="423">
        <f t="shared" si="87"/>
        <v>0</v>
      </c>
    </row>
    <row r="187" spans="1:45" ht="25">
      <c r="A187" s="490" t="s">
        <v>413</v>
      </c>
      <c r="B187" s="28" t="s">
        <v>920</v>
      </c>
      <c r="C187" s="186" t="s">
        <v>9</v>
      </c>
      <c r="D187" s="472">
        <v>300</v>
      </c>
      <c r="E187" s="473">
        <v>1075</v>
      </c>
      <c r="F187" s="489">
        <f>D187*E187</f>
        <v>322500</v>
      </c>
      <c r="G187" s="419"/>
      <c r="H187" s="418"/>
      <c r="I187" s="445"/>
      <c r="J187" s="418"/>
      <c r="K187" s="445"/>
      <c r="L187" s="418"/>
      <c r="M187" s="445"/>
      <c r="N187" s="418"/>
      <c r="O187" s="445"/>
      <c r="P187" s="418"/>
      <c r="Q187" s="445">
        <v>2080</v>
      </c>
      <c r="R187" s="418">
        <f>Q187*E187</f>
        <v>2236000</v>
      </c>
      <c r="S187" s="445">
        <f>Q187+O187</f>
        <v>2080</v>
      </c>
      <c r="T187" s="416">
        <f t="shared" si="78"/>
        <v>2236000</v>
      </c>
      <c r="U187" s="445">
        <v>1680</v>
      </c>
      <c r="V187" s="418">
        <f>U187*E187</f>
        <v>1806000</v>
      </c>
      <c r="W187" s="445">
        <f>U187+S187</f>
        <v>3760</v>
      </c>
      <c r="X187" s="416">
        <f t="shared" si="79"/>
        <v>4042000</v>
      </c>
      <c r="Y187" s="445">
        <v>2000</v>
      </c>
      <c r="Z187" s="418">
        <f>Y187*E187</f>
        <v>2150000</v>
      </c>
      <c r="AA187" s="446">
        <f t="shared" si="80"/>
        <v>5760</v>
      </c>
      <c r="AB187" s="416">
        <f t="shared" si="80"/>
        <v>6192000</v>
      </c>
      <c r="AC187" s="445">
        <v>2500</v>
      </c>
      <c r="AD187" s="416">
        <f t="shared" si="81"/>
        <v>2687500</v>
      </c>
      <c r="AE187" s="446">
        <f t="shared" si="82"/>
        <v>8260</v>
      </c>
      <c r="AF187" s="416">
        <f t="shared" si="82"/>
        <v>8879500</v>
      </c>
      <c r="AG187" s="445" t="e">
        <f>#REF!</f>
        <v>#REF!</v>
      </c>
      <c r="AH187" s="416" t="e">
        <f t="shared" si="83"/>
        <v>#REF!</v>
      </c>
      <c r="AI187" s="446" t="e">
        <f t="shared" si="84"/>
        <v>#REF!</v>
      </c>
      <c r="AJ187" s="416" t="e">
        <f t="shared" si="84"/>
        <v>#REF!</v>
      </c>
      <c r="AK187" s="445" t="e">
        <f>#REF!</f>
        <v>#REF!</v>
      </c>
      <c r="AL187" s="416" t="e">
        <f t="shared" si="85"/>
        <v>#REF!</v>
      </c>
      <c r="AM187" s="446" t="e">
        <f t="shared" si="86"/>
        <v>#REF!</v>
      </c>
      <c r="AN187" s="416" t="e">
        <f t="shared" si="86"/>
        <v>#REF!</v>
      </c>
      <c r="AO187" s="447"/>
      <c r="AP187" s="423">
        <f t="shared" si="87"/>
        <v>0</v>
      </c>
    </row>
    <row r="188" spans="1:45" ht="12.5">
      <c r="A188" s="490"/>
      <c r="B188" s="378"/>
      <c r="C188" s="374"/>
      <c r="D188" s="472"/>
      <c r="E188" s="487"/>
      <c r="F188" s="488"/>
      <c r="G188" s="419"/>
      <c r="H188" s="418"/>
      <c r="I188" s="445"/>
      <c r="J188" s="418"/>
      <c r="K188" s="445"/>
      <c r="L188" s="418"/>
      <c r="M188" s="445"/>
      <c r="N188" s="418"/>
      <c r="O188" s="445"/>
      <c r="P188" s="418"/>
      <c r="Q188" s="445"/>
      <c r="R188" s="418"/>
      <c r="S188" s="445"/>
      <c r="T188" s="416">
        <f t="shared" si="78"/>
        <v>0</v>
      </c>
      <c r="U188" s="445"/>
      <c r="V188" s="418"/>
      <c r="W188" s="445"/>
      <c r="X188" s="416">
        <f t="shared" si="79"/>
        <v>0</v>
      </c>
      <c r="Y188" s="445"/>
      <c r="Z188" s="418"/>
      <c r="AA188" s="446">
        <f t="shared" si="80"/>
        <v>0</v>
      </c>
      <c r="AB188" s="416">
        <f t="shared" si="80"/>
        <v>0</v>
      </c>
      <c r="AC188" s="445"/>
      <c r="AD188" s="416">
        <f t="shared" si="81"/>
        <v>0</v>
      </c>
      <c r="AE188" s="446">
        <f t="shared" si="82"/>
        <v>0</v>
      </c>
      <c r="AF188" s="416">
        <f t="shared" si="82"/>
        <v>0</v>
      </c>
      <c r="AG188" s="445"/>
      <c r="AH188" s="416">
        <f t="shared" si="83"/>
        <v>0</v>
      </c>
      <c r="AI188" s="446">
        <f t="shared" si="84"/>
        <v>0</v>
      </c>
      <c r="AJ188" s="416">
        <f t="shared" si="84"/>
        <v>0</v>
      </c>
      <c r="AK188" s="445"/>
      <c r="AL188" s="416">
        <f t="shared" si="85"/>
        <v>0</v>
      </c>
      <c r="AM188" s="446">
        <f t="shared" si="86"/>
        <v>0</v>
      </c>
      <c r="AN188" s="416">
        <f t="shared" si="86"/>
        <v>0</v>
      </c>
      <c r="AO188" s="447"/>
      <c r="AP188" s="423">
        <f t="shared" si="87"/>
        <v>0</v>
      </c>
    </row>
    <row r="189" spans="1:45" ht="25">
      <c r="A189" s="492"/>
      <c r="B189" s="381" t="s">
        <v>800</v>
      </c>
      <c r="C189" s="374"/>
      <c r="D189" s="472"/>
      <c r="E189" s="473"/>
      <c r="F189" s="489"/>
      <c r="G189" s="419"/>
      <c r="H189" s="418"/>
      <c r="I189" s="445"/>
      <c r="J189" s="418"/>
      <c r="K189" s="445"/>
      <c r="L189" s="418"/>
      <c r="M189" s="445"/>
      <c r="N189" s="418"/>
      <c r="O189" s="445"/>
      <c r="P189" s="418">
        <f t="shared" ref="P189:P194" si="88">O189*E189</f>
        <v>0</v>
      </c>
      <c r="Q189" s="445"/>
      <c r="R189" s="418"/>
      <c r="S189" s="445"/>
      <c r="T189" s="416">
        <f t="shared" si="78"/>
        <v>0</v>
      </c>
      <c r="U189" s="445"/>
      <c r="V189" s="418"/>
      <c r="W189" s="445"/>
      <c r="X189" s="416">
        <f t="shared" si="79"/>
        <v>0</v>
      </c>
      <c r="Y189" s="445"/>
      <c r="Z189" s="418"/>
      <c r="AA189" s="446">
        <f t="shared" si="80"/>
        <v>0</v>
      </c>
      <c r="AB189" s="416">
        <f t="shared" si="80"/>
        <v>0</v>
      </c>
      <c r="AC189" s="445"/>
      <c r="AD189" s="416">
        <f t="shared" si="81"/>
        <v>0</v>
      </c>
      <c r="AE189" s="446">
        <f t="shared" si="82"/>
        <v>0</v>
      </c>
      <c r="AF189" s="416">
        <f t="shared" si="82"/>
        <v>0</v>
      </c>
      <c r="AG189" s="445"/>
      <c r="AH189" s="416">
        <f t="shared" si="83"/>
        <v>0</v>
      </c>
      <c r="AI189" s="446">
        <f t="shared" si="84"/>
        <v>0</v>
      </c>
      <c r="AJ189" s="416">
        <f t="shared" si="84"/>
        <v>0</v>
      </c>
      <c r="AK189" s="445"/>
      <c r="AL189" s="416">
        <f t="shared" si="85"/>
        <v>0</v>
      </c>
      <c r="AM189" s="446">
        <f t="shared" si="86"/>
        <v>0</v>
      </c>
      <c r="AN189" s="416">
        <f t="shared" si="86"/>
        <v>0</v>
      </c>
      <c r="AO189" s="447"/>
      <c r="AP189" s="423">
        <f t="shared" si="87"/>
        <v>0</v>
      </c>
    </row>
    <row r="190" spans="1:45" ht="12.5">
      <c r="A190" s="490"/>
      <c r="B190" s="378"/>
      <c r="C190" s="374"/>
      <c r="D190" s="472"/>
      <c r="E190" s="473"/>
      <c r="F190" s="489"/>
      <c r="G190" s="419"/>
      <c r="H190" s="418"/>
      <c r="I190" s="445"/>
      <c r="J190" s="418"/>
      <c r="K190" s="445"/>
      <c r="L190" s="418"/>
      <c r="M190" s="445"/>
      <c r="N190" s="418"/>
      <c r="O190" s="445"/>
      <c r="P190" s="418">
        <f t="shared" si="88"/>
        <v>0</v>
      </c>
      <c r="Q190" s="445"/>
      <c r="R190" s="418"/>
      <c r="S190" s="445"/>
      <c r="T190" s="416">
        <f t="shared" si="78"/>
        <v>0</v>
      </c>
      <c r="U190" s="445"/>
      <c r="V190" s="418"/>
      <c r="W190" s="445"/>
      <c r="X190" s="416">
        <f t="shared" si="79"/>
        <v>0</v>
      </c>
      <c r="Y190" s="445"/>
      <c r="Z190" s="418"/>
      <c r="AA190" s="446">
        <f t="shared" si="80"/>
        <v>0</v>
      </c>
      <c r="AB190" s="416">
        <f t="shared" si="80"/>
        <v>0</v>
      </c>
      <c r="AC190" s="445"/>
      <c r="AD190" s="416">
        <f t="shared" si="81"/>
        <v>0</v>
      </c>
      <c r="AE190" s="446">
        <f t="shared" si="82"/>
        <v>0</v>
      </c>
      <c r="AF190" s="416">
        <f t="shared" si="82"/>
        <v>0</v>
      </c>
      <c r="AG190" s="445"/>
      <c r="AH190" s="416">
        <f t="shared" si="83"/>
        <v>0</v>
      </c>
      <c r="AI190" s="446">
        <f t="shared" si="84"/>
        <v>0</v>
      </c>
      <c r="AJ190" s="416">
        <f t="shared" si="84"/>
        <v>0</v>
      </c>
      <c r="AK190" s="445"/>
      <c r="AL190" s="416">
        <f t="shared" si="85"/>
        <v>0</v>
      </c>
      <c r="AM190" s="446">
        <f t="shared" si="86"/>
        <v>0</v>
      </c>
      <c r="AN190" s="416">
        <f t="shared" si="86"/>
        <v>0</v>
      </c>
      <c r="AO190" s="447"/>
      <c r="AP190" s="423">
        <f t="shared" si="87"/>
        <v>0</v>
      </c>
    </row>
    <row r="191" spans="1:45" ht="27">
      <c r="A191" s="490" t="s">
        <v>801</v>
      </c>
      <c r="B191" s="55" t="s">
        <v>918</v>
      </c>
      <c r="C191" s="186" t="s">
        <v>10</v>
      </c>
      <c r="D191" s="472">
        <v>2</v>
      </c>
      <c r="E191" s="473">
        <v>7875</v>
      </c>
      <c r="F191" s="489">
        <f>D191*E191</f>
        <v>15750</v>
      </c>
      <c r="G191" s="419"/>
      <c r="H191" s="418"/>
      <c r="I191" s="445">
        <v>40</v>
      </c>
      <c r="J191" s="418">
        <f>E191*I191</f>
        <v>315000</v>
      </c>
      <c r="K191" s="445">
        <f>I191+G191</f>
        <v>40</v>
      </c>
      <c r="L191" s="418">
        <f>J191+H191</f>
        <v>315000</v>
      </c>
      <c r="M191" s="445">
        <v>70</v>
      </c>
      <c r="N191" s="418">
        <f>M191*E191</f>
        <v>551250</v>
      </c>
      <c r="O191" s="445">
        <f>M191+K191</f>
        <v>110</v>
      </c>
      <c r="P191" s="418">
        <f t="shared" si="88"/>
        <v>866250</v>
      </c>
      <c r="Q191" s="445">
        <v>47</v>
      </c>
      <c r="R191" s="418">
        <f>Q191*E191</f>
        <v>370125</v>
      </c>
      <c r="S191" s="445">
        <f>Q191+O191</f>
        <v>157</v>
      </c>
      <c r="T191" s="416">
        <f t="shared" si="78"/>
        <v>1236375</v>
      </c>
      <c r="U191" s="445"/>
      <c r="V191" s="418">
        <f>U191*I191</f>
        <v>0</v>
      </c>
      <c r="W191" s="445">
        <f>U191+S191</f>
        <v>157</v>
      </c>
      <c r="X191" s="416">
        <f t="shared" si="79"/>
        <v>1236375</v>
      </c>
      <c r="Y191" s="445"/>
      <c r="Z191" s="418">
        <f>Y191*E191</f>
        <v>0</v>
      </c>
      <c r="AA191" s="446">
        <f t="shared" si="80"/>
        <v>157</v>
      </c>
      <c r="AB191" s="416">
        <f t="shared" si="80"/>
        <v>1236375</v>
      </c>
      <c r="AC191" s="445"/>
      <c r="AD191" s="416">
        <f t="shared" si="81"/>
        <v>0</v>
      </c>
      <c r="AE191" s="446">
        <f t="shared" si="82"/>
        <v>157</v>
      </c>
      <c r="AF191" s="416">
        <f t="shared" si="82"/>
        <v>1236375</v>
      </c>
      <c r="AG191" s="445"/>
      <c r="AH191" s="416">
        <f t="shared" si="83"/>
        <v>0</v>
      </c>
      <c r="AI191" s="446">
        <f t="shared" si="84"/>
        <v>157</v>
      </c>
      <c r="AJ191" s="416">
        <f t="shared" si="84"/>
        <v>1236375</v>
      </c>
      <c r="AK191" s="445"/>
      <c r="AL191" s="416">
        <f t="shared" si="85"/>
        <v>0</v>
      </c>
      <c r="AM191" s="446">
        <f t="shared" si="86"/>
        <v>157</v>
      </c>
      <c r="AN191" s="416">
        <f t="shared" si="86"/>
        <v>1236375</v>
      </c>
      <c r="AO191" s="447"/>
      <c r="AP191" s="423">
        <f t="shared" si="87"/>
        <v>0</v>
      </c>
      <c r="AR191" s="243" t="s">
        <v>802</v>
      </c>
      <c r="AS191" s="459">
        <f>SUM(D55:D67)</f>
        <v>16</v>
      </c>
    </row>
    <row r="192" spans="1:45" ht="12.5">
      <c r="A192" s="490"/>
      <c r="B192" s="55"/>
      <c r="C192" s="186"/>
      <c r="D192" s="472"/>
      <c r="E192" s="473"/>
      <c r="F192" s="489"/>
      <c r="G192" s="419"/>
      <c r="H192" s="418"/>
      <c r="I192" s="445"/>
      <c r="J192" s="418"/>
      <c r="K192" s="445"/>
      <c r="L192" s="418"/>
      <c r="M192" s="445"/>
      <c r="N192" s="418"/>
      <c r="O192" s="445"/>
      <c r="P192" s="418"/>
      <c r="Q192" s="445"/>
      <c r="R192" s="418"/>
      <c r="S192" s="445"/>
      <c r="T192" s="416"/>
      <c r="U192" s="445"/>
      <c r="V192" s="418"/>
      <c r="W192" s="445"/>
      <c r="X192" s="416"/>
      <c r="Y192" s="445"/>
      <c r="Z192" s="418"/>
      <c r="AA192" s="446"/>
      <c r="AB192" s="416"/>
      <c r="AC192" s="445"/>
      <c r="AD192" s="416"/>
      <c r="AE192" s="446"/>
      <c r="AF192" s="416"/>
      <c r="AG192" s="445"/>
      <c r="AH192" s="416"/>
      <c r="AI192" s="446"/>
      <c r="AJ192" s="416"/>
      <c r="AK192" s="445"/>
      <c r="AL192" s="416"/>
      <c r="AM192" s="446"/>
      <c r="AN192" s="416"/>
      <c r="AO192" s="447"/>
      <c r="AP192" s="423"/>
      <c r="AR192" s="243" t="s">
        <v>803</v>
      </c>
      <c r="AS192" s="243">
        <v>3</v>
      </c>
    </row>
    <row r="193" spans="1:42" ht="27">
      <c r="A193" s="490" t="s">
        <v>804</v>
      </c>
      <c r="B193" s="55" t="s">
        <v>917</v>
      </c>
      <c r="C193" s="186" t="s">
        <v>10</v>
      </c>
      <c r="D193" s="472">
        <v>3</v>
      </c>
      <c r="E193" s="473">
        <v>16875</v>
      </c>
      <c r="F193" s="489">
        <f>D193*E193</f>
        <v>50625</v>
      </c>
      <c r="G193" s="419"/>
      <c r="H193" s="418"/>
      <c r="I193" s="445"/>
      <c r="J193" s="418"/>
      <c r="K193" s="445"/>
      <c r="L193" s="418"/>
      <c r="M193" s="445"/>
      <c r="N193" s="418"/>
      <c r="O193" s="445"/>
      <c r="P193" s="418">
        <f>O193*E193</f>
        <v>0</v>
      </c>
      <c r="Q193" s="445">
        <v>15</v>
      </c>
      <c r="R193" s="418">
        <f>Q193*E193</f>
        <v>253125</v>
      </c>
      <c r="S193" s="445">
        <f>Q193+O193</f>
        <v>15</v>
      </c>
      <c r="T193" s="416">
        <f>R193+P193</f>
        <v>253125</v>
      </c>
      <c r="U193" s="445">
        <v>35</v>
      </c>
      <c r="V193" s="418">
        <f>U193*E193</f>
        <v>590625</v>
      </c>
      <c r="W193" s="445">
        <f>U193+S193</f>
        <v>50</v>
      </c>
      <c r="X193" s="416">
        <f>V193+T193</f>
        <v>843750</v>
      </c>
      <c r="Y193" s="445">
        <v>35</v>
      </c>
      <c r="Z193" s="418">
        <f>Y193*E193</f>
        <v>590625</v>
      </c>
      <c r="AA193" s="446">
        <f>Y193+W193</f>
        <v>85</v>
      </c>
      <c r="AB193" s="416">
        <f>Z193+X193</f>
        <v>1434375</v>
      </c>
      <c r="AC193" s="445">
        <v>65</v>
      </c>
      <c r="AD193" s="416">
        <f>AC193*E193</f>
        <v>1096875</v>
      </c>
      <c r="AE193" s="446">
        <f>AC193+AA193</f>
        <v>150</v>
      </c>
      <c r="AF193" s="416">
        <f>AD193+AB193</f>
        <v>2531250</v>
      </c>
      <c r="AG193" s="445">
        <v>30</v>
      </c>
      <c r="AH193" s="416">
        <f>AG193*E193</f>
        <v>506250</v>
      </c>
      <c r="AI193" s="446">
        <f>AG193+AE193</f>
        <v>180</v>
      </c>
      <c r="AJ193" s="416">
        <f>AH193+AF193</f>
        <v>3037500</v>
      </c>
      <c r="AK193" s="445">
        <v>15</v>
      </c>
      <c r="AL193" s="416">
        <f>AK193*E193</f>
        <v>253125</v>
      </c>
      <c r="AM193" s="446">
        <f>AK193+AI193</f>
        <v>195</v>
      </c>
      <c r="AN193" s="416">
        <f>AL193+AJ193</f>
        <v>3290625</v>
      </c>
      <c r="AO193" s="447"/>
      <c r="AP193" s="423">
        <f>AO193*E193</f>
        <v>0</v>
      </c>
    </row>
    <row r="194" spans="1:42" ht="12.5">
      <c r="A194" s="490"/>
      <c r="B194" s="55"/>
      <c r="C194" s="186"/>
      <c r="D194" s="472"/>
      <c r="E194" s="473"/>
      <c r="F194" s="489"/>
      <c r="G194" s="419"/>
      <c r="H194" s="418"/>
      <c r="I194" s="445"/>
      <c r="J194" s="418"/>
      <c r="K194" s="445"/>
      <c r="L194" s="418"/>
      <c r="M194" s="445"/>
      <c r="N194" s="418"/>
      <c r="O194" s="445"/>
      <c r="P194" s="418">
        <f t="shared" si="88"/>
        <v>0</v>
      </c>
      <c r="Q194" s="445"/>
      <c r="R194" s="418"/>
      <c r="S194" s="445"/>
      <c r="T194" s="416">
        <f t="shared" si="78"/>
        <v>0</v>
      </c>
      <c r="U194" s="445"/>
      <c r="V194" s="418"/>
      <c r="W194" s="445"/>
      <c r="X194" s="416">
        <f t="shared" si="79"/>
        <v>0</v>
      </c>
      <c r="Y194" s="445"/>
      <c r="Z194" s="418"/>
      <c r="AA194" s="446">
        <f t="shared" si="80"/>
        <v>0</v>
      </c>
      <c r="AB194" s="416">
        <f t="shared" si="80"/>
        <v>0</v>
      </c>
      <c r="AC194" s="445"/>
      <c r="AD194" s="416">
        <f t="shared" si="81"/>
        <v>0</v>
      </c>
      <c r="AE194" s="446">
        <f t="shared" si="82"/>
        <v>0</v>
      </c>
      <c r="AF194" s="416">
        <f t="shared" si="82"/>
        <v>0</v>
      </c>
      <c r="AG194" s="445"/>
      <c r="AH194" s="416">
        <f t="shared" si="83"/>
        <v>0</v>
      </c>
      <c r="AI194" s="446">
        <f t="shared" si="84"/>
        <v>0</v>
      </c>
      <c r="AJ194" s="416">
        <f t="shared" si="84"/>
        <v>0</v>
      </c>
      <c r="AK194" s="445"/>
      <c r="AL194" s="416">
        <f t="shared" si="85"/>
        <v>0</v>
      </c>
      <c r="AM194" s="446">
        <f t="shared" si="86"/>
        <v>0</v>
      </c>
      <c r="AN194" s="416">
        <f t="shared" si="86"/>
        <v>0</v>
      </c>
      <c r="AO194" s="447"/>
      <c r="AP194" s="423">
        <f t="shared" si="87"/>
        <v>0</v>
      </c>
    </row>
    <row r="195" spans="1:42" ht="27">
      <c r="A195" s="490" t="s">
        <v>805</v>
      </c>
      <c r="B195" s="55" t="s">
        <v>916</v>
      </c>
      <c r="C195" s="186" t="s">
        <v>10</v>
      </c>
      <c r="D195" s="472">
        <v>10</v>
      </c>
      <c r="E195" s="473">
        <v>33750</v>
      </c>
      <c r="F195" s="489">
        <f>D195*E195</f>
        <v>337500</v>
      </c>
      <c r="G195" s="419"/>
      <c r="H195" s="418"/>
      <c r="I195" s="445"/>
      <c r="J195" s="418"/>
      <c r="K195" s="445"/>
      <c r="L195" s="418"/>
      <c r="M195" s="445"/>
      <c r="N195" s="418"/>
      <c r="O195" s="445"/>
      <c r="P195" s="418">
        <f>O195*E195</f>
        <v>0</v>
      </c>
      <c r="Q195" s="445"/>
      <c r="R195" s="418"/>
      <c r="S195" s="445"/>
      <c r="T195" s="416">
        <f>R195+P195</f>
        <v>0</v>
      </c>
      <c r="U195" s="445"/>
      <c r="V195" s="418"/>
      <c r="W195" s="445"/>
      <c r="X195" s="416">
        <f>V195+T195</f>
        <v>0</v>
      </c>
      <c r="Y195" s="445"/>
      <c r="Z195" s="418"/>
      <c r="AA195" s="446">
        <f t="shared" ref="AA195:AB197" si="89">Y195+W195</f>
        <v>0</v>
      </c>
      <c r="AB195" s="416">
        <f t="shared" si="89"/>
        <v>0</v>
      </c>
      <c r="AC195" s="445"/>
      <c r="AD195" s="416">
        <f>AC195*E195</f>
        <v>0</v>
      </c>
      <c r="AE195" s="446">
        <f t="shared" ref="AE195:AF197" si="90">AC195+AA195</f>
        <v>0</v>
      </c>
      <c r="AF195" s="416">
        <f t="shared" si="90"/>
        <v>0</v>
      </c>
      <c r="AG195" s="445"/>
      <c r="AH195" s="416">
        <f>AG195*E195</f>
        <v>0</v>
      </c>
      <c r="AI195" s="446">
        <f t="shared" ref="AI195:AJ197" si="91">AG195+AE195</f>
        <v>0</v>
      </c>
      <c r="AJ195" s="416">
        <f t="shared" si="91"/>
        <v>0</v>
      </c>
      <c r="AK195" s="445">
        <v>45</v>
      </c>
      <c r="AL195" s="416">
        <f>AK195*E195</f>
        <v>1518750</v>
      </c>
      <c r="AM195" s="446">
        <f t="shared" ref="AM195:AN197" si="92">AK195+AI195</f>
        <v>45</v>
      </c>
      <c r="AN195" s="416">
        <f t="shared" si="92"/>
        <v>1518750</v>
      </c>
      <c r="AO195" s="447">
        <v>18</v>
      </c>
      <c r="AP195" s="423">
        <f>AO195*E195</f>
        <v>607500</v>
      </c>
    </row>
    <row r="196" spans="1:42" ht="12.5">
      <c r="A196" s="490"/>
      <c r="B196" s="380"/>
      <c r="C196" s="374"/>
      <c r="D196" s="472"/>
      <c r="E196" s="487"/>
      <c r="F196" s="488"/>
      <c r="G196" s="419"/>
      <c r="H196" s="418"/>
      <c r="I196" s="445"/>
      <c r="J196" s="418"/>
      <c r="K196" s="445"/>
      <c r="L196" s="418"/>
      <c r="M196" s="445"/>
      <c r="N196" s="418"/>
      <c r="O196" s="445"/>
      <c r="P196" s="418">
        <f>O196*E196</f>
        <v>0</v>
      </c>
      <c r="Q196" s="445"/>
      <c r="R196" s="418"/>
      <c r="S196" s="445"/>
      <c r="T196" s="416">
        <f>R196+P196</f>
        <v>0</v>
      </c>
      <c r="U196" s="445"/>
      <c r="V196" s="418"/>
      <c r="W196" s="445"/>
      <c r="X196" s="416">
        <f>V196+T196</f>
        <v>0</v>
      </c>
      <c r="Y196" s="445"/>
      <c r="Z196" s="418"/>
      <c r="AA196" s="446">
        <f t="shared" si="89"/>
        <v>0</v>
      </c>
      <c r="AB196" s="416">
        <f t="shared" si="89"/>
        <v>0</v>
      </c>
      <c r="AC196" s="445"/>
      <c r="AD196" s="416">
        <f>AC196*E196</f>
        <v>0</v>
      </c>
      <c r="AE196" s="446">
        <f t="shared" si="90"/>
        <v>0</v>
      </c>
      <c r="AF196" s="416">
        <f t="shared" si="90"/>
        <v>0</v>
      </c>
      <c r="AG196" s="445"/>
      <c r="AH196" s="416">
        <f>AG196*E196</f>
        <v>0</v>
      </c>
      <c r="AI196" s="446">
        <f t="shared" si="91"/>
        <v>0</v>
      </c>
      <c r="AJ196" s="416">
        <f t="shared" si="91"/>
        <v>0</v>
      </c>
      <c r="AK196" s="445"/>
      <c r="AL196" s="416">
        <f>AK196*E196</f>
        <v>0</v>
      </c>
      <c r="AM196" s="446">
        <f t="shared" si="92"/>
        <v>0</v>
      </c>
      <c r="AN196" s="416">
        <f t="shared" si="92"/>
        <v>0</v>
      </c>
      <c r="AO196" s="447"/>
      <c r="AP196" s="423">
        <f>AO196*E196</f>
        <v>0</v>
      </c>
    </row>
    <row r="197" spans="1:42" ht="27">
      <c r="A197" s="490" t="s">
        <v>806</v>
      </c>
      <c r="B197" s="55" t="s">
        <v>915</v>
      </c>
      <c r="C197" s="186" t="s">
        <v>10</v>
      </c>
      <c r="D197" s="472">
        <v>2</v>
      </c>
      <c r="E197" s="473">
        <v>67500</v>
      </c>
      <c r="F197" s="489">
        <f>D197*E197</f>
        <v>135000</v>
      </c>
      <c r="G197" s="419"/>
      <c r="H197" s="418"/>
      <c r="I197" s="445"/>
      <c r="J197" s="418"/>
      <c r="K197" s="445"/>
      <c r="L197" s="418"/>
      <c r="M197" s="445">
        <v>32</v>
      </c>
      <c r="N197" s="418">
        <f>M197*E197</f>
        <v>2160000</v>
      </c>
      <c r="O197" s="445">
        <f>M197+K197</f>
        <v>32</v>
      </c>
      <c r="P197" s="418">
        <f>O197*E197</f>
        <v>2160000</v>
      </c>
      <c r="Q197" s="445">
        <v>12</v>
      </c>
      <c r="R197" s="418">
        <f>Q197*E197</f>
        <v>810000</v>
      </c>
      <c r="S197" s="445">
        <f>Q197+O197</f>
        <v>44</v>
      </c>
      <c r="T197" s="416">
        <f>R197+P197</f>
        <v>2970000</v>
      </c>
      <c r="U197" s="445"/>
      <c r="V197" s="418">
        <f>U197*I197</f>
        <v>0</v>
      </c>
      <c r="W197" s="445">
        <f>U197+S197</f>
        <v>44</v>
      </c>
      <c r="X197" s="416">
        <f>V197+T197</f>
        <v>2970000</v>
      </c>
      <c r="Y197" s="445">
        <v>23</v>
      </c>
      <c r="Z197" s="418">
        <f>Y197*E197</f>
        <v>1552500</v>
      </c>
      <c r="AA197" s="446">
        <f t="shared" si="89"/>
        <v>67</v>
      </c>
      <c r="AB197" s="416">
        <f t="shared" si="89"/>
        <v>4522500</v>
      </c>
      <c r="AC197" s="445">
        <v>58</v>
      </c>
      <c r="AD197" s="416">
        <f>AC197*E197</f>
        <v>3915000</v>
      </c>
      <c r="AE197" s="446">
        <f t="shared" si="90"/>
        <v>125</v>
      </c>
      <c r="AF197" s="416">
        <f t="shared" si="90"/>
        <v>8437500</v>
      </c>
      <c r="AG197" s="445">
        <v>50</v>
      </c>
      <c r="AH197" s="416">
        <f>AG197*E197</f>
        <v>3375000</v>
      </c>
      <c r="AI197" s="446">
        <f t="shared" si="91"/>
        <v>175</v>
      </c>
      <c r="AJ197" s="416">
        <f t="shared" si="91"/>
        <v>11812500</v>
      </c>
      <c r="AK197" s="445">
        <v>18</v>
      </c>
      <c r="AL197" s="416">
        <f>AK197*E197</f>
        <v>1215000</v>
      </c>
      <c r="AM197" s="446">
        <f t="shared" si="92"/>
        <v>193</v>
      </c>
      <c r="AN197" s="416">
        <f t="shared" si="92"/>
        <v>13027500</v>
      </c>
      <c r="AO197" s="447"/>
      <c r="AP197" s="423">
        <f>AO197*E197</f>
        <v>0</v>
      </c>
    </row>
    <row r="198" spans="1:42" ht="12.5">
      <c r="A198" s="490"/>
      <c r="B198" s="55"/>
      <c r="C198" s="186"/>
      <c r="D198" s="472"/>
      <c r="E198" s="473"/>
      <c r="F198" s="489"/>
      <c r="G198" s="419"/>
      <c r="H198" s="418"/>
      <c r="I198" s="445"/>
      <c r="J198" s="418"/>
      <c r="K198" s="445"/>
      <c r="L198" s="418"/>
      <c r="M198" s="445"/>
      <c r="N198" s="418"/>
      <c r="O198" s="445"/>
      <c r="P198" s="418"/>
      <c r="Q198" s="445"/>
      <c r="R198" s="418"/>
      <c r="S198" s="445"/>
      <c r="T198" s="416"/>
      <c r="U198" s="445"/>
      <c r="V198" s="418"/>
      <c r="W198" s="445"/>
      <c r="X198" s="416"/>
      <c r="Y198" s="445"/>
      <c r="Z198" s="418"/>
      <c r="AA198" s="446"/>
      <c r="AB198" s="416"/>
      <c r="AC198" s="445"/>
      <c r="AD198" s="416"/>
      <c r="AE198" s="446"/>
      <c r="AF198" s="416"/>
      <c r="AG198" s="445"/>
      <c r="AH198" s="416"/>
      <c r="AI198" s="446"/>
      <c r="AJ198" s="416"/>
      <c r="AK198" s="445"/>
      <c r="AL198" s="416"/>
      <c r="AM198" s="446"/>
      <c r="AN198" s="416"/>
      <c r="AO198" s="447"/>
      <c r="AP198" s="423"/>
    </row>
    <row r="199" spans="1:42" ht="25.5" thickBot="1">
      <c r="A199" s="492"/>
      <c r="B199" s="381" t="s">
        <v>807</v>
      </c>
      <c r="C199" s="393"/>
      <c r="D199" s="472"/>
      <c r="E199" s="487"/>
      <c r="F199" s="488"/>
      <c r="G199" s="419"/>
      <c r="H199" s="418"/>
      <c r="I199" s="445"/>
      <c r="J199" s="418"/>
      <c r="K199" s="445"/>
      <c r="L199" s="418"/>
      <c r="M199" s="445"/>
      <c r="N199" s="418"/>
      <c r="O199" s="445"/>
      <c r="P199" s="418"/>
      <c r="Q199" s="445"/>
      <c r="R199" s="418"/>
      <c r="S199" s="445"/>
      <c r="T199" s="416">
        <f>R199+P199</f>
        <v>0</v>
      </c>
      <c r="U199" s="445"/>
      <c r="V199" s="418"/>
      <c r="W199" s="445"/>
      <c r="X199" s="416">
        <f>V199+T199</f>
        <v>0</v>
      </c>
      <c r="Y199" s="445"/>
      <c r="Z199" s="418"/>
      <c r="AA199" s="446">
        <f>Y199+W199</f>
        <v>0</v>
      </c>
      <c r="AB199" s="416">
        <f>Z199+X199</f>
        <v>0</v>
      </c>
      <c r="AC199" s="445"/>
      <c r="AD199" s="418"/>
      <c r="AE199" s="446">
        <f>AC199+AA199</f>
        <v>0</v>
      </c>
      <c r="AF199" s="416">
        <f>AD199+AB199</f>
        <v>0</v>
      </c>
      <c r="AG199" s="445"/>
      <c r="AH199" s="418"/>
      <c r="AI199" s="446">
        <f>AG199+AE199</f>
        <v>0</v>
      </c>
      <c r="AJ199" s="416">
        <f>AH199+AF199</f>
        <v>0</v>
      </c>
      <c r="AK199" s="445"/>
      <c r="AL199" s="418"/>
      <c r="AM199" s="446">
        <f>AK199+AI199</f>
        <v>0</v>
      </c>
      <c r="AN199" s="416">
        <f>AL199+AJ199</f>
        <v>0</v>
      </c>
      <c r="AO199" s="447"/>
      <c r="AP199" s="426"/>
    </row>
    <row r="200" spans="1:42" s="19" customFormat="1" ht="13.5" thickTop="1">
      <c r="A200" s="35"/>
      <c r="B200" s="36"/>
      <c r="C200" s="92"/>
      <c r="D200" s="37"/>
      <c r="E200" s="93"/>
      <c r="F200" s="47"/>
      <c r="AP200" s="421"/>
    </row>
    <row r="201" spans="1:42" s="19" customFormat="1" ht="12.75" customHeight="1">
      <c r="A201" s="1554" t="s">
        <v>901</v>
      </c>
      <c r="B201" s="1555"/>
      <c r="C201" s="1555"/>
      <c r="D201" s="1555"/>
      <c r="E201" s="1556"/>
      <c r="F201" s="409">
        <f>SUM(F158:F199)</f>
        <v>1358039</v>
      </c>
      <c r="AP201" s="421"/>
    </row>
    <row r="202" spans="1:42" s="19" customFormat="1" ht="15" customHeight="1" thickBot="1">
      <c r="A202" s="38"/>
      <c r="B202" s="39"/>
      <c r="C202" s="94"/>
      <c r="D202" s="40"/>
      <c r="E202" s="95"/>
      <c r="F202" s="48"/>
      <c r="AP202" s="421"/>
    </row>
    <row r="203" spans="1:42" s="19" customFormat="1" ht="13" thickTop="1">
      <c r="A203" s="137"/>
      <c r="B203" s="43"/>
      <c r="C203" s="137"/>
      <c r="D203" s="401"/>
      <c r="E203" s="402"/>
      <c r="F203" s="403"/>
      <c r="AP203" s="421"/>
    </row>
    <row r="204" spans="1:42" s="19" customFormat="1" ht="12.75" customHeight="1">
      <c r="A204" s="1548" t="s">
        <v>741</v>
      </c>
      <c r="B204" s="1548"/>
      <c r="C204" s="1548"/>
      <c r="D204" s="1548"/>
      <c r="E204" s="1548"/>
      <c r="F204" s="1548"/>
      <c r="AP204" s="421"/>
    </row>
    <row r="205" spans="1:42" s="19" customFormat="1" ht="13" thickBot="1">
      <c r="A205" s="121"/>
      <c r="B205" s="404"/>
      <c r="C205" s="405"/>
      <c r="D205" s="406"/>
      <c r="E205" s="45"/>
      <c r="F205" s="407"/>
      <c r="AP205" s="421"/>
    </row>
    <row r="206" spans="1:42" s="19" customFormat="1" ht="27" thickTop="1" thickBot="1">
      <c r="A206" s="2" t="s">
        <v>21</v>
      </c>
      <c r="B206" s="53" t="s">
        <v>5</v>
      </c>
      <c r="C206" s="29" t="s">
        <v>6</v>
      </c>
      <c r="D206" s="30" t="s">
        <v>1</v>
      </c>
      <c r="E206" s="31" t="s">
        <v>7</v>
      </c>
      <c r="F206" s="50" t="s">
        <v>8</v>
      </c>
      <c r="AP206" s="421"/>
    </row>
    <row r="207" spans="1:42" ht="13" thickTop="1">
      <c r="A207" s="490"/>
      <c r="B207" s="28"/>
      <c r="C207" s="393"/>
      <c r="D207" s="472"/>
      <c r="E207" s="487"/>
      <c r="F207" s="488"/>
      <c r="G207" s="419"/>
      <c r="H207" s="418"/>
      <c r="I207" s="445"/>
      <c r="J207" s="418"/>
      <c r="K207" s="445"/>
      <c r="L207" s="418"/>
      <c r="M207" s="445"/>
      <c r="N207" s="418"/>
      <c r="O207" s="445"/>
      <c r="P207" s="418"/>
      <c r="Q207" s="445"/>
      <c r="R207" s="418"/>
      <c r="S207" s="445"/>
      <c r="T207" s="416">
        <f>R207+P207</f>
        <v>0</v>
      </c>
      <c r="U207" s="445"/>
      <c r="V207" s="418"/>
      <c r="W207" s="445"/>
      <c r="X207" s="416">
        <f>V207+T207</f>
        <v>0</v>
      </c>
      <c r="Y207" s="445"/>
      <c r="Z207" s="418"/>
      <c r="AA207" s="446">
        <f>Y207+W207</f>
        <v>0</v>
      </c>
      <c r="AB207" s="416">
        <f>Z207+X207</f>
        <v>0</v>
      </c>
      <c r="AC207" s="445"/>
      <c r="AD207" s="418"/>
      <c r="AE207" s="446">
        <f>AC207+AA207</f>
        <v>0</v>
      </c>
      <c r="AF207" s="416">
        <f>AD207+AB207</f>
        <v>0</v>
      </c>
      <c r="AG207" s="445"/>
      <c r="AH207" s="418"/>
      <c r="AI207" s="446">
        <f>AG207+AE207</f>
        <v>0</v>
      </c>
      <c r="AJ207" s="416">
        <f>AH207+AF207</f>
        <v>0</v>
      </c>
      <c r="AK207" s="445"/>
      <c r="AL207" s="418"/>
      <c r="AM207" s="446">
        <f>AK207+AI207</f>
        <v>0</v>
      </c>
      <c r="AN207" s="416">
        <f>AL207+AJ207</f>
        <v>0</v>
      </c>
      <c r="AO207" s="447"/>
      <c r="AP207" s="426"/>
    </row>
    <row r="208" spans="1:42" ht="25">
      <c r="A208" s="490" t="s">
        <v>434</v>
      </c>
      <c r="B208" s="380" t="s">
        <v>914</v>
      </c>
      <c r="C208" s="393" t="s">
        <v>10</v>
      </c>
      <c r="D208" s="472">
        <f>100/10</f>
        <v>10</v>
      </c>
      <c r="E208" s="473">
        <v>7560</v>
      </c>
      <c r="F208" s="489">
        <f>D208*E208</f>
        <v>75600</v>
      </c>
      <c r="G208" s="419"/>
      <c r="H208" s="418"/>
      <c r="I208" s="445"/>
      <c r="J208" s="418"/>
      <c r="K208" s="445"/>
      <c r="L208" s="418"/>
      <c r="M208" s="445"/>
      <c r="N208" s="418"/>
      <c r="O208" s="445"/>
      <c r="P208" s="418"/>
      <c r="Q208" s="445"/>
      <c r="R208" s="418"/>
      <c r="S208" s="445"/>
      <c r="T208" s="416">
        <f>R208+P208</f>
        <v>0</v>
      </c>
      <c r="U208" s="445"/>
      <c r="V208" s="418"/>
      <c r="W208" s="445"/>
      <c r="X208" s="416">
        <f>V208+T208</f>
        <v>0</v>
      </c>
      <c r="Y208" s="445"/>
      <c r="Z208" s="418"/>
      <c r="AA208" s="446">
        <f>Y208+W208</f>
        <v>0</v>
      </c>
      <c r="AB208" s="416">
        <f>Z208+X208</f>
        <v>0</v>
      </c>
      <c r="AC208" s="445"/>
      <c r="AD208" s="418"/>
      <c r="AE208" s="446">
        <f>AC208+AA208</f>
        <v>0</v>
      </c>
      <c r="AF208" s="416">
        <f>AD208+AB208</f>
        <v>0</v>
      </c>
      <c r="AG208" s="445"/>
      <c r="AH208" s="418"/>
      <c r="AI208" s="446">
        <f>AG208+AE208</f>
        <v>0</v>
      </c>
      <c r="AJ208" s="416">
        <f>AH208+AF208</f>
        <v>0</v>
      </c>
      <c r="AK208" s="445"/>
      <c r="AL208" s="418"/>
      <c r="AM208" s="446">
        <f>AK208+AI208</f>
        <v>0</v>
      </c>
      <c r="AN208" s="416">
        <f>AL208+AJ208</f>
        <v>0</v>
      </c>
      <c r="AO208" s="447"/>
      <c r="AP208" s="426"/>
    </row>
    <row r="209" spans="1:44" ht="12.5">
      <c r="A209" s="490"/>
      <c r="B209" s="380"/>
      <c r="C209" s="393"/>
      <c r="D209" s="472"/>
      <c r="E209" s="473"/>
      <c r="F209" s="489"/>
      <c r="G209" s="419"/>
      <c r="H209" s="418"/>
      <c r="I209" s="474"/>
      <c r="J209" s="418"/>
      <c r="K209" s="474"/>
      <c r="L209" s="418"/>
      <c r="M209" s="474"/>
      <c r="N209" s="418"/>
      <c r="O209" s="474"/>
      <c r="P209" s="418"/>
      <c r="Q209" s="474"/>
      <c r="R209" s="418"/>
      <c r="S209" s="474"/>
      <c r="T209" s="416"/>
      <c r="U209" s="474"/>
      <c r="V209" s="418"/>
      <c r="W209" s="474"/>
      <c r="X209" s="416"/>
      <c r="Y209" s="474"/>
      <c r="Z209" s="418"/>
      <c r="AA209" s="475"/>
      <c r="AB209" s="416"/>
      <c r="AC209" s="474"/>
      <c r="AD209" s="418"/>
      <c r="AE209" s="475"/>
      <c r="AF209" s="416"/>
      <c r="AG209" s="474"/>
      <c r="AH209" s="418"/>
      <c r="AI209" s="475"/>
      <c r="AJ209" s="416"/>
      <c r="AK209" s="474"/>
      <c r="AL209" s="418"/>
      <c r="AM209" s="475"/>
      <c r="AN209" s="416"/>
      <c r="AO209" s="476"/>
      <c r="AP209" s="426"/>
    </row>
    <row r="210" spans="1:44" ht="13">
      <c r="A210" s="490"/>
      <c r="B210" s="54" t="s">
        <v>808</v>
      </c>
      <c r="C210" s="393"/>
      <c r="D210" s="472"/>
      <c r="E210" s="487"/>
      <c r="F210" s="488"/>
      <c r="G210" s="419"/>
      <c r="H210" s="418"/>
      <c r="I210" s="445"/>
      <c r="J210" s="418"/>
      <c r="K210" s="445"/>
      <c r="L210" s="418"/>
      <c r="M210" s="445"/>
      <c r="N210" s="418"/>
      <c r="O210" s="445"/>
      <c r="P210" s="418"/>
      <c r="Q210" s="445"/>
      <c r="R210" s="418"/>
      <c r="S210" s="445"/>
      <c r="T210" s="416">
        <f>R210+P210</f>
        <v>0</v>
      </c>
      <c r="U210" s="445"/>
      <c r="V210" s="418"/>
      <c r="W210" s="445"/>
      <c r="X210" s="416">
        <f>V210+T210</f>
        <v>0</v>
      </c>
      <c r="Y210" s="445"/>
      <c r="Z210" s="418"/>
      <c r="AA210" s="446">
        <f t="shared" ref="AA210:AB212" si="93">Y210+W210</f>
        <v>0</v>
      </c>
      <c r="AB210" s="416">
        <f t="shared" si="93"/>
        <v>0</v>
      </c>
      <c r="AC210" s="445"/>
      <c r="AD210" s="418"/>
      <c r="AE210" s="446">
        <f t="shared" ref="AE210:AF212" si="94">AC210+AA210</f>
        <v>0</v>
      </c>
      <c r="AF210" s="416">
        <f t="shared" si="94"/>
        <v>0</v>
      </c>
      <c r="AG210" s="445"/>
      <c r="AH210" s="418"/>
      <c r="AI210" s="446">
        <f t="shared" ref="AI210:AJ212" si="95">AG210+AE210</f>
        <v>0</v>
      </c>
      <c r="AJ210" s="416">
        <f t="shared" si="95"/>
        <v>0</v>
      </c>
      <c r="AK210" s="445"/>
      <c r="AL210" s="418"/>
      <c r="AM210" s="446">
        <f t="shared" ref="AM210:AN212" si="96">AK210+AI210</f>
        <v>0</v>
      </c>
      <c r="AN210" s="416">
        <f t="shared" si="96"/>
        <v>0</v>
      </c>
      <c r="AO210" s="447"/>
      <c r="AP210" s="426"/>
    </row>
    <row r="211" spans="1:44" ht="13">
      <c r="A211" s="490"/>
      <c r="B211" s="54"/>
      <c r="C211" s="393"/>
      <c r="D211" s="472"/>
      <c r="E211" s="487"/>
      <c r="F211" s="488"/>
      <c r="G211" s="419"/>
      <c r="H211" s="418"/>
      <c r="I211" s="445"/>
      <c r="J211" s="418"/>
      <c r="K211" s="445"/>
      <c r="L211" s="418"/>
      <c r="M211" s="445"/>
      <c r="N211" s="418"/>
      <c r="O211" s="445"/>
      <c r="P211" s="418"/>
      <c r="Q211" s="445"/>
      <c r="R211" s="418"/>
      <c r="S211" s="445"/>
      <c r="T211" s="416">
        <f>R211+P211</f>
        <v>0</v>
      </c>
      <c r="U211" s="445"/>
      <c r="V211" s="418"/>
      <c r="W211" s="445"/>
      <c r="X211" s="416">
        <f>V211+T211</f>
        <v>0</v>
      </c>
      <c r="Y211" s="445"/>
      <c r="Z211" s="418"/>
      <c r="AA211" s="446">
        <f t="shared" si="93"/>
        <v>0</v>
      </c>
      <c r="AB211" s="416">
        <f t="shared" si="93"/>
        <v>0</v>
      </c>
      <c r="AC211" s="445"/>
      <c r="AD211" s="418"/>
      <c r="AE211" s="446">
        <f t="shared" si="94"/>
        <v>0</v>
      </c>
      <c r="AF211" s="416">
        <f t="shared" si="94"/>
        <v>0</v>
      </c>
      <c r="AG211" s="445"/>
      <c r="AH211" s="418"/>
      <c r="AI211" s="446">
        <f t="shared" si="95"/>
        <v>0</v>
      </c>
      <c r="AJ211" s="416">
        <f t="shared" si="95"/>
        <v>0</v>
      </c>
      <c r="AK211" s="445"/>
      <c r="AL211" s="418"/>
      <c r="AM211" s="446">
        <f t="shared" si="96"/>
        <v>0</v>
      </c>
      <c r="AN211" s="416">
        <f t="shared" si="96"/>
        <v>0</v>
      </c>
      <c r="AO211" s="447"/>
      <c r="AP211" s="426"/>
    </row>
    <row r="212" spans="1:44" ht="69.75" customHeight="1">
      <c r="A212" s="490" t="s">
        <v>809</v>
      </c>
      <c r="B212" s="394" t="s">
        <v>810</v>
      </c>
      <c r="C212" s="393" t="s">
        <v>43</v>
      </c>
      <c r="D212" s="472">
        <v>1</v>
      </c>
      <c r="E212" s="473">
        <v>300000</v>
      </c>
      <c r="F212" s="489">
        <f>D212*E212</f>
        <v>300000</v>
      </c>
      <c r="G212" s="419"/>
      <c r="H212" s="418"/>
      <c r="I212" s="445"/>
      <c r="J212" s="418"/>
      <c r="K212" s="445"/>
      <c r="L212" s="418"/>
      <c r="M212" s="445"/>
      <c r="N212" s="418"/>
      <c r="O212" s="445"/>
      <c r="P212" s="418"/>
      <c r="Q212" s="445"/>
      <c r="R212" s="418"/>
      <c r="S212" s="445"/>
      <c r="T212" s="416">
        <f>R212+P212</f>
        <v>0</v>
      </c>
      <c r="U212" s="445"/>
      <c r="V212" s="418"/>
      <c r="W212" s="445"/>
      <c r="X212" s="416">
        <f>V212+T212</f>
        <v>0</v>
      </c>
      <c r="Y212" s="445"/>
      <c r="Z212" s="418"/>
      <c r="AA212" s="446">
        <f t="shared" si="93"/>
        <v>0</v>
      </c>
      <c r="AB212" s="416">
        <f t="shared" si="93"/>
        <v>0</v>
      </c>
      <c r="AC212" s="445"/>
      <c r="AD212" s="418"/>
      <c r="AE212" s="446">
        <f t="shared" si="94"/>
        <v>0</v>
      </c>
      <c r="AF212" s="416">
        <f t="shared" si="94"/>
        <v>0</v>
      </c>
      <c r="AG212" s="445"/>
      <c r="AH212" s="418"/>
      <c r="AI212" s="446">
        <f t="shared" si="95"/>
        <v>0</v>
      </c>
      <c r="AJ212" s="416">
        <f t="shared" si="95"/>
        <v>0</v>
      </c>
      <c r="AK212" s="445"/>
      <c r="AL212" s="418"/>
      <c r="AM212" s="446">
        <f t="shared" si="96"/>
        <v>0</v>
      </c>
      <c r="AN212" s="416">
        <f t="shared" si="96"/>
        <v>0</v>
      </c>
      <c r="AO212" s="447"/>
      <c r="AP212" s="426"/>
    </row>
    <row r="213" spans="1:44" ht="12.5">
      <c r="A213" s="490"/>
      <c r="B213" s="395"/>
      <c r="C213" s="393"/>
      <c r="D213" s="472"/>
      <c r="E213" s="473"/>
      <c r="F213" s="489"/>
      <c r="G213" s="419"/>
      <c r="H213" s="418"/>
      <c r="I213" s="445"/>
      <c r="J213" s="418"/>
      <c r="K213" s="445">
        <f>1*1*2</f>
        <v>2</v>
      </c>
      <c r="L213" s="418">
        <v>3000</v>
      </c>
      <c r="M213" s="445"/>
      <c r="N213" s="418"/>
      <c r="O213" s="445"/>
      <c r="P213" s="418"/>
      <c r="Q213" s="445"/>
      <c r="R213" s="418"/>
      <c r="S213" s="445"/>
      <c r="T213" s="416"/>
      <c r="U213" s="445"/>
      <c r="V213" s="418"/>
      <c r="W213" s="445"/>
      <c r="X213" s="416"/>
      <c r="Y213" s="445"/>
      <c r="Z213" s="418"/>
      <c r="AA213" s="446"/>
      <c r="AB213" s="416"/>
      <c r="AC213" s="445"/>
      <c r="AD213" s="418"/>
      <c r="AE213" s="446"/>
      <c r="AF213" s="416"/>
      <c r="AG213" s="445"/>
      <c r="AH213" s="418"/>
      <c r="AI213" s="446"/>
      <c r="AJ213" s="416"/>
      <c r="AK213" s="445"/>
      <c r="AL213" s="418"/>
      <c r="AM213" s="446"/>
      <c r="AN213" s="416"/>
      <c r="AO213" s="447"/>
      <c r="AP213" s="426"/>
    </row>
    <row r="214" spans="1:44" ht="12.5">
      <c r="A214" s="492"/>
      <c r="B214" s="381" t="s">
        <v>811</v>
      </c>
      <c r="C214" s="393"/>
      <c r="D214" s="472"/>
      <c r="E214" s="487"/>
      <c r="F214" s="488"/>
      <c r="G214" s="419"/>
      <c r="H214" s="418"/>
      <c r="I214" s="445"/>
      <c r="J214" s="418"/>
      <c r="K214" s="445">
        <f>200*0.5</f>
        <v>100</v>
      </c>
      <c r="L214" s="418">
        <f>K214*L213/K213</f>
        <v>150000</v>
      </c>
      <c r="M214" s="445"/>
      <c r="N214" s="418"/>
      <c r="O214" s="445"/>
      <c r="P214" s="418"/>
      <c r="Q214" s="445"/>
      <c r="R214" s="418"/>
      <c r="S214" s="445"/>
      <c r="T214" s="416">
        <f>R214+P214</f>
        <v>0</v>
      </c>
      <c r="U214" s="445"/>
      <c r="V214" s="418"/>
      <c r="W214" s="445"/>
      <c r="X214" s="416">
        <f>V214+T214</f>
        <v>0</v>
      </c>
      <c r="Y214" s="445"/>
      <c r="Z214" s="418"/>
      <c r="AA214" s="446">
        <f t="shared" ref="AA214:AB218" si="97">Y214+W214</f>
        <v>0</v>
      </c>
      <c r="AB214" s="416">
        <f t="shared" si="97"/>
        <v>0</v>
      </c>
      <c r="AC214" s="445"/>
      <c r="AD214" s="418"/>
      <c r="AE214" s="446">
        <f t="shared" ref="AE214:AF218" si="98">AC214+AA214</f>
        <v>0</v>
      </c>
      <c r="AF214" s="416">
        <f t="shared" si="98"/>
        <v>0</v>
      </c>
      <c r="AG214" s="445"/>
      <c r="AH214" s="418"/>
      <c r="AI214" s="446">
        <f t="shared" ref="AI214:AJ218" si="99">AG214+AE214</f>
        <v>0</v>
      </c>
      <c r="AJ214" s="416">
        <f t="shared" si="99"/>
        <v>0</v>
      </c>
      <c r="AK214" s="445"/>
      <c r="AL214" s="418"/>
      <c r="AM214" s="446">
        <f t="shared" ref="AM214:AN218" si="100">AK214+AI214</f>
        <v>0</v>
      </c>
      <c r="AN214" s="416">
        <f t="shared" si="100"/>
        <v>0</v>
      </c>
      <c r="AO214" s="447"/>
      <c r="AP214" s="426"/>
    </row>
    <row r="215" spans="1:44" ht="12.5">
      <c r="A215" s="490"/>
      <c r="B215" s="28"/>
      <c r="C215" s="393"/>
      <c r="D215" s="472"/>
      <c r="E215" s="487"/>
      <c r="F215" s="488"/>
      <c r="G215" s="419"/>
      <c r="H215" s="418"/>
      <c r="I215" s="445">
        <f>100*450</f>
        <v>45000</v>
      </c>
      <c r="J215" s="418">
        <f>240/0.5</f>
        <v>480</v>
      </c>
      <c r="K215" s="445"/>
      <c r="L215" s="418"/>
      <c r="M215" s="445"/>
      <c r="N215" s="418"/>
      <c r="O215" s="445"/>
      <c r="P215" s="418"/>
      <c r="Q215" s="445"/>
      <c r="R215" s="418"/>
      <c r="S215" s="445"/>
      <c r="T215" s="416">
        <f>R215+P215</f>
        <v>0</v>
      </c>
      <c r="U215" s="445"/>
      <c r="V215" s="418"/>
      <c r="W215" s="445"/>
      <c r="X215" s="416">
        <f>V215+T215</f>
        <v>0</v>
      </c>
      <c r="Y215" s="445"/>
      <c r="Z215" s="418"/>
      <c r="AA215" s="446">
        <f t="shared" si="97"/>
        <v>0</v>
      </c>
      <c r="AB215" s="416">
        <f t="shared" si="97"/>
        <v>0</v>
      </c>
      <c r="AC215" s="445"/>
      <c r="AD215" s="418"/>
      <c r="AE215" s="446">
        <f t="shared" si="98"/>
        <v>0</v>
      </c>
      <c r="AF215" s="416">
        <f t="shared" si="98"/>
        <v>0</v>
      </c>
      <c r="AG215" s="445"/>
      <c r="AH215" s="418"/>
      <c r="AI215" s="446">
        <f t="shared" si="99"/>
        <v>0</v>
      </c>
      <c r="AJ215" s="416">
        <f t="shared" si="99"/>
        <v>0</v>
      </c>
      <c r="AK215" s="445"/>
      <c r="AL215" s="418"/>
      <c r="AM215" s="446">
        <f t="shared" si="100"/>
        <v>0</v>
      </c>
      <c r="AN215" s="416">
        <f t="shared" si="100"/>
        <v>0</v>
      </c>
      <c r="AO215" s="447"/>
      <c r="AP215" s="426"/>
    </row>
    <row r="216" spans="1:44" ht="18" customHeight="1">
      <c r="A216" s="490" t="s">
        <v>812</v>
      </c>
      <c r="B216" s="28" t="s">
        <v>813</v>
      </c>
      <c r="C216" s="393" t="s">
        <v>14</v>
      </c>
      <c r="D216" s="507">
        <f>200*1</f>
        <v>200</v>
      </c>
      <c r="E216" s="473">
        <f>F216/D216</f>
        <v>1000</v>
      </c>
      <c r="F216" s="489">
        <v>200000</v>
      </c>
      <c r="G216" s="419"/>
      <c r="H216" s="418"/>
      <c r="I216" s="445"/>
      <c r="J216" s="418">
        <f>200*0.5</f>
        <v>100</v>
      </c>
      <c r="K216" s="445">
        <v>1</v>
      </c>
      <c r="L216" s="418">
        <v>1500</v>
      </c>
      <c r="M216" s="445"/>
      <c r="N216" s="418"/>
      <c r="O216" s="445"/>
      <c r="P216" s="418"/>
      <c r="Q216" s="445"/>
      <c r="R216" s="418"/>
      <c r="S216" s="445"/>
      <c r="T216" s="416">
        <f>R216+P216</f>
        <v>0</v>
      </c>
      <c r="U216" s="445"/>
      <c r="V216" s="418"/>
      <c r="W216" s="445"/>
      <c r="X216" s="416">
        <f>V216+T216</f>
        <v>0</v>
      </c>
      <c r="Y216" s="445"/>
      <c r="Z216" s="418"/>
      <c r="AA216" s="446">
        <f t="shared" si="97"/>
        <v>0</v>
      </c>
      <c r="AB216" s="416">
        <f t="shared" si="97"/>
        <v>0</v>
      </c>
      <c r="AC216" s="445"/>
      <c r="AD216" s="418"/>
      <c r="AE216" s="446">
        <f t="shared" si="98"/>
        <v>0</v>
      </c>
      <c r="AF216" s="416">
        <f t="shared" si="98"/>
        <v>0</v>
      </c>
      <c r="AG216" s="445"/>
      <c r="AH216" s="418"/>
      <c r="AI216" s="446">
        <f t="shared" si="99"/>
        <v>0</v>
      </c>
      <c r="AJ216" s="416">
        <f t="shared" si="99"/>
        <v>0</v>
      </c>
      <c r="AK216" s="445"/>
      <c r="AL216" s="418"/>
      <c r="AM216" s="446">
        <f t="shared" si="100"/>
        <v>0</v>
      </c>
      <c r="AN216" s="416">
        <f t="shared" si="100"/>
        <v>0</v>
      </c>
      <c r="AO216" s="447"/>
      <c r="AP216" s="426"/>
      <c r="AR216" s="243" t="s">
        <v>814</v>
      </c>
    </row>
    <row r="217" spans="1:44" ht="12.5">
      <c r="A217" s="490"/>
      <c r="B217" s="378"/>
      <c r="C217" s="393"/>
      <c r="D217" s="507"/>
      <c r="E217" s="487"/>
      <c r="F217" s="488"/>
      <c r="G217" s="419"/>
      <c r="H217" s="418"/>
      <c r="I217" s="445"/>
      <c r="J217" s="418"/>
      <c r="K217" s="445">
        <v>100</v>
      </c>
      <c r="L217" s="418">
        <f>K217*L216/K216</f>
        <v>150000</v>
      </c>
      <c r="M217" s="445">
        <f>L217+I215</f>
        <v>195000</v>
      </c>
      <c r="N217" s="418"/>
      <c r="O217" s="445"/>
      <c r="P217" s="418"/>
      <c r="Q217" s="445"/>
      <c r="R217" s="418"/>
      <c r="S217" s="445"/>
      <c r="T217" s="416">
        <f>R217+P217</f>
        <v>0</v>
      </c>
      <c r="U217" s="445"/>
      <c r="V217" s="418"/>
      <c r="W217" s="445"/>
      <c r="X217" s="416">
        <f>V217+T217</f>
        <v>0</v>
      </c>
      <c r="Y217" s="445"/>
      <c r="Z217" s="418"/>
      <c r="AA217" s="446">
        <f t="shared" si="97"/>
        <v>0</v>
      </c>
      <c r="AB217" s="416">
        <f t="shared" si="97"/>
        <v>0</v>
      </c>
      <c r="AC217" s="445"/>
      <c r="AD217" s="418"/>
      <c r="AE217" s="446">
        <f t="shared" si="98"/>
        <v>0</v>
      </c>
      <c r="AF217" s="416">
        <f t="shared" si="98"/>
        <v>0</v>
      </c>
      <c r="AG217" s="445"/>
      <c r="AH217" s="418"/>
      <c r="AI217" s="446">
        <f t="shared" si="99"/>
        <v>0</v>
      </c>
      <c r="AJ217" s="416">
        <f t="shared" si="99"/>
        <v>0</v>
      </c>
      <c r="AK217" s="445"/>
      <c r="AL217" s="418"/>
      <c r="AM217" s="446">
        <f t="shared" si="100"/>
        <v>0</v>
      </c>
      <c r="AN217" s="416">
        <f t="shared" si="100"/>
        <v>0</v>
      </c>
      <c r="AO217" s="447"/>
      <c r="AP217" s="426"/>
    </row>
    <row r="218" spans="1:44" ht="25">
      <c r="A218" s="490" t="s">
        <v>815</v>
      </c>
      <c r="B218" s="28" t="s">
        <v>816</v>
      </c>
      <c r="C218" s="393" t="s">
        <v>9</v>
      </c>
      <c r="D218" s="507">
        <f>650-200</f>
        <v>450</v>
      </c>
      <c r="E218" s="473">
        <v>1500</v>
      </c>
      <c r="F218" s="489">
        <f>D218*E218</f>
        <v>675000</v>
      </c>
      <c r="G218" s="419"/>
      <c r="H218" s="418"/>
      <c r="I218" s="445"/>
      <c r="J218" s="418"/>
      <c r="K218" s="445"/>
      <c r="L218" s="418"/>
      <c r="M218" s="445"/>
      <c r="N218" s="418"/>
      <c r="O218" s="445"/>
      <c r="P218" s="418"/>
      <c r="Q218" s="445"/>
      <c r="R218" s="418"/>
      <c r="S218" s="445"/>
      <c r="T218" s="416">
        <f>R218+P218</f>
        <v>0</v>
      </c>
      <c r="U218" s="445"/>
      <c r="V218" s="418"/>
      <c r="W218" s="445"/>
      <c r="X218" s="416">
        <f>V218+T218</f>
        <v>0</v>
      </c>
      <c r="Y218" s="445"/>
      <c r="Z218" s="418"/>
      <c r="AA218" s="446">
        <f t="shared" si="97"/>
        <v>0</v>
      </c>
      <c r="AB218" s="416">
        <f t="shared" si="97"/>
        <v>0</v>
      </c>
      <c r="AC218" s="445"/>
      <c r="AD218" s="418"/>
      <c r="AE218" s="446">
        <f t="shared" si="98"/>
        <v>0</v>
      </c>
      <c r="AF218" s="416">
        <f t="shared" si="98"/>
        <v>0</v>
      </c>
      <c r="AG218" s="445"/>
      <c r="AH218" s="418"/>
      <c r="AI218" s="446">
        <f t="shared" si="99"/>
        <v>0</v>
      </c>
      <c r="AJ218" s="416">
        <f t="shared" si="99"/>
        <v>0</v>
      </c>
      <c r="AK218" s="445"/>
      <c r="AL218" s="418"/>
      <c r="AM218" s="446">
        <f t="shared" si="100"/>
        <v>0</v>
      </c>
      <c r="AN218" s="416">
        <f t="shared" si="100"/>
        <v>0</v>
      </c>
      <c r="AO218" s="447"/>
      <c r="AP218" s="426"/>
    </row>
    <row r="219" spans="1:44" ht="12.5">
      <c r="A219" s="490"/>
      <c r="B219" s="395"/>
      <c r="C219" s="393"/>
      <c r="D219" s="472"/>
      <c r="E219" s="473"/>
      <c r="F219" s="489"/>
      <c r="G219" s="419"/>
      <c r="H219" s="418"/>
      <c r="I219" s="445"/>
      <c r="J219" s="418"/>
      <c r="K219" s="445"/>
      <c r="L219" s="418"/>
      <c r="M219" s="445"/>
      <c r="N219" s="418"/>
      <c r="O219" s="445"/>
      <c r="P219" s="418"/>
      <c r="Q219" s="445"/>
      <c r="R219" s="418"/>
      <c r="S219" s="445"/>
      <c r="T219" s="416"/>
      <c r="U219" s="445"/>
      <c r="V219" s="418"/>
      <c r="W219" s="445"/>
      <c r="X219" s="416"/>
      <c r="Y219" s="445"/>
      <c r="Z219" s="418"/>
      <c r="AA219" s="446"/>
      <c r="AB219" s="416"/>
      <c r="AC219" s="445"/>
      <c r="AD219" s="418"/>
      <c r="AE219" s="446"/>
      <c r="AF219" s="416"/>
      <c r="AG219" s="445"/>
      <c r="AH219" s="418"/>
      <c r="AI219" s="446"/>
      <c r="AJ219" s="416"/>
      <c r="AK219" s="445"/>
      <c r="AL219" s="418"/>
      <c r="AM219" s="446"/>
      <c r="AN219" s="416"/>
      <c r="AO219" s="447"/>
      <c r="AP219" s="426"/>
    </row>
    <row r="220" spans="1:44" ht="12.5">
      <c r="A220" s="490"/>
      <c r="B220" s="395"/>
      <c r="C220" s="393"/>
      <c r="D220" s="472"/>
      <c r="E220" s="473"/>
      <c r="F220" s="489"/>
      <c r="G220" s="419"/>
      <c r="H220" s="418"/>
      <c r="I220" s="445"/>
      <c r="J220" s="418"/>
      <c r="K220" s="445"/>
      <c r="L220" s="418"/>
      <c r="M220" s="445"/>
      <c r="N220" s="418"/>
      <c r="O220" s="445"/>
      <c r="P220" s="418"/>
      <c r="Q220" s="445"/>
      <c r="R220" s="418"/>
      <c r="S220" s="445"/>
      <c r="T220" s="416"/>
      <c r="U220" s="445"/>
      <c r="V220" s="418"/>
      <c r="W220" s="445"/>
      <c r="X220" s="416"/>
      <c r="Y220" s="445"/>
      <c r="Z220" s="418"/>
      <c r="AA220" s="446"/>
      <c r="AB220" s="416"/>
      <c r="AC220" s="445"/>
      <c r="AD220" s="418"/>
      <c r="AE220" s="446"/>
      <c r="AF220" s="416"/>
      <c r="AG220" s="445"/>
      <c r="AH220" s="418"/>
      <c r="AI220" s="446"/>
      <c r="AJ220" s="416"/>
      <c r="AK220" s="445"/>
      <c r="AL220" s="418"/>
      <c r="AM220" s="446"/>
      <c r="AN220" s="416"/>
      <c r="AO220" s="447"/>
      <c r="AP220" s="426"/>
    </row>
    <row r="221" spans="1:44" ht="12.5">
      <c r="A221" s="490"/>
      <c r="B221" s="395"/>
      <c r="C221" s="393"/>
      <c r="D221" s="472"/>
      <c r="E221" s="473"/>
      <c r="F221" s="489"/>
      <c r="G221" s="419"/>
      <c r="H221" s="418"/>
      <c r="I221" s="445"/>
      <c r="J221" s="418"/>
      <c r="K221" s="445"/>
      <c r="L221" s="418"/>
      <c r="M221" s="445"/>
      <c r="N221" s="418"/>
      <c r="O221" s="445"/>
      <c r="P221" s="418"/>
      <c r="Q221" s="445"/>
      <c r="R221" s="418"/>
      <c r="S221" s="445"/>
      <c r="T221" s="416"/>
      <c r="U221" s="445"/>
      <c r="V221" s="418"/>
      <c r="W221" s="445"/>
      <c r="X221" s="416"/>
      <c r="Y221" s="445"/>
      <c r="Z221" s="418"/>
      <c r="AA221" s="446"/>
      <c r="AB221" s="416"/>
      <c r="AC221" s="445"/>
      <c r="AD221" s="418"/>
      <c r="AE221" s="446"/>
      <c r="AF221" s="416"/>
      <c r="AG221" s="445"/>
      <c r="AH221" s="418"/>
      <c r="AI221" s="446"/>
      <c r="AJ221" s="416"/>
      <c r="AK221" s="445"/>
      <c r="AL221" s="418"/>
      <c r="AM221" s="446"/>
      <c r="AN221" s="416"/>
      <c r="AO221" s="447"/>
      <c r="AP221" s="426"/>
    </row>
    <row r="222" spans="1:44" ht="12.5">
      <c r="A222" s="490"/>
      <c r="B222" s="395"/>
      <c r="C222" s="393"/>
      <c r="D222" s="472"/>
      <c r="E222" s="473"/>
      <c r="F222" s="489"/>
      <c r="G222" s="419"/>
      <c r="H222" s="418"/>
      <c r="I222" s="445"/>
      <c r="J222" s="418"/>
      <c r="K222" s="445"/>
      <c r="L222" s="418"/>
      <c r="M222" s="445"/>
      <c r="N222" s="418"/>
      <c r="O222" s="445"/>
      <c r="P222" s="418"/>
      <c r="Q222" s="445"/>
      <c r="R222" s="418"/>
      <c r="S222" s="445"/>
      <c r="T222" s="416"/>
      <c r="U222" s="445"/>
      <c r="V222" s="418"/>
      <c r="W222" s="445"/>
      <c r="X222" s="416"/>
      <c r="Y222" s="445"/>
      <c r="Z222" s="418"/>
      <c r="AA222" s="446"/>
      <c r="AB222" s="416"/>
      <c r="AC222" s="445"/>
      <c r="AD222" s="418"/>
      <c r="AE222" s="446"/>
      <c r="AF222" s="416"/>
      <c r="AG222" s="445"/>
      <c r="AH222" s="418"/>
      <c r="AI222" s="446"/>
      <c r="AJ222" s="416"/>
      <c r="AK222" s="445"/>
      <c r="AL222" s="418"/>
      <c r="AM222" s="446"/>
      <c r="AN222" s="416"/>
      <c r="AO222" s="447"/>
      <c r="AP222" s="426"/>
    </row>
    <row r="223" spans="1:44" ht="12.5">
      <c r="A223" s="490"/>
      <c r="B223" s="395"/>
      <c r="C223" s="393"/>
      <c r="D223" s="472"/>
      <c r="E223" s="473"/>
      <c r="F223" s="489"/>
      <c r="G223" s="419"/>
      <c r="H223" s="418"/>
      <c r="I223" s="445"/>
      <c r="J223" s="418"/>
      <c r="K223" s="445"/>
      <c r="L223" s="418"/>
      <c r="M223" s="445"/>
      <c r="N223" s="418"/>
      <c r="O223" s="445"/>
      <c r="P223" s="418"/>
      <c r="Q223" s="445"/>
      <c r="R223" s="418"/>
      <c r="S223" s="445"/>
      <c r="T223" s="416"/>
      <c r="U223" s="445"/>
      <c r="V223" s="418"/>
      <c r="W223" s="445"/>
      <c r="X223" s="416"/>
      <c r="Y223" s="445"/>
      <c r="Z223" s="418"/>
      <c r="AA223" s="446"/>
      <c r="AB223" s="416"/>
      <c r="AC223" s="445"/>
      <c r="AD223" s="418"/>
      <c r="AE223" s="446"/>
      <c r="AF223" s="416"/>
      <c r="AG223" s="445"/>
      <c r="AH223" s="418"/>
      <c r="AI223" s="446"/>
      <c r="AJ223" s="416"/>
      <c r="AK223" s="445"/>
      <c r="AL223" s="418"/>
      <c r="AM223" s="446"/>
      <c r="AN223" s="416"/>
      <c r="AO223" s="447"/>
      <c r="AP223" s="426"/>
    </row>
    <row r="224" spans="1:44" ht="12.5">
      <c r="A224" s="490"/>
      <c r="B224" s="395"/>
      <c r="C224" s="393"/>
      <c r="D224" s="472"/>
      <c r="E224" s="473"/>
      <c r="F224" s="489"/>
      <c r="G224" s="419"/>
      <c r="H224" s="418"/>
      <c r="I224" s="445"/>
      <c r="J224" s="418"/>
      <c r="K224" s="445"/>
      <c r="L224" s="418"/>
      <c r="M224" s="445"/>
      <c r="N224" s="418"/>
      <c r="O224" s="445"/>
      <c r="P224" s="418"/>
      <c r="Q224" s="445"/>
      <c r="R224" s="418"/>
      <c r="S224" s="445"/>
      <c r="T224" s="416"/>
      <c r="U224" s="445"/>
      <c r="V224" s="418"/>
      <c r="W224" s="445"/>
      <c r="X224" s="416"/>
      <c r="Y224" s="445"/>
      <c r="Z224" s="418"/>
      <c r="AA224" s="446"/>
      <c r="AB224" s="416"/>
      <c r="AC224" s="445"/>
      <c r="AD224" s="418"/>
      <c r="AE224" s="446"/>
      <c r="AF224" s="416"/>
      <c r="AG224" s="445"/>
      <c r="AH224" s="418"/>
      <c r="AI224" s="446"/>
      <c r="AJ224" s="416"/>
      <c r="AK224" s="445"/>
      <c r="AL224" s="418"/>
      <c r="AM224" s="446"/>
      <c r="AN224" s="416"/>
      <c r="AO224" s="447"/>
      <c r="AP224" s="426"/>
    </row>
    <row r="225" spans="1:42" ht="12.5">
      <c r="A225" s="490"/>
      <c r="B225" s="395"/>
      <c r="C225" s="393"/>
      <c r="D225" s="472"/>
      <c r="E225" s="473"/>
      <c r="F225" s="489"/>
      <c r="G225" s="419"/>
      <c r="H225" s="418"/>
      <c r="I225" s="445"/>
      <c r="J225" s="418"/>
      <c r="K225" s="445"/>
      <c r="L225" s="418"/>
      <c r="M225" s="445"/>
      <c r="N225" s="418"/>
      <c r="O225" s="445"/>
      <c r="P225" s="418"/>
      <c r="Q225" s="445"/>
      <c r="R225" s="418"/>
      <c r="S225" s="445"/>
      <c r="T225" s="416"/>
      <c r="U225" s="445"/>
      <c r="V225" s="418"/>
      <c r="W225" s="445"/>
      <c r="X225" s="416"/>
      <c r="Y225" s="445"/>
      <c r="Z225" s="418"/>
      <c r="AA225" s="446"/>
      <c r="AB225" s="416"/>
      <c r="AC225" s="445"/>
      <c r="AD225" s="418"/>
      <c r="AE225" s="446"/>
      <c r="AF225" s="416"/>
      <c r="AG225" s="445"/>
      <c r="AH225" s="418"/>
      <c r="AI225" s="446"/>
      <c r="AJ225" s="416"/>
      <c r="AK225" s="445"/>
      <c r="AL225" s="418"/>
      <c r="AM225" s="446"/>
      <c r="AN225" s="416"/>
      <c r="AO225" s="447"/>
      <c r="AP225" s="426"/>
    </row>
    <row r="226" spans="1:42" ht="12.5">
      <c r="A226" s="490"/>
      <c r="B226" s="395"/>
      <c r="C226" s="393"/>
      <c r="D226" s="472"/>
      <c r="E226" s="473"/>
      <c r="F226" s="489"/>
      <c r="G226" s="419"/>
      <c r="H226" s="418"/>
      <c r="I226" s="445"/>
      <c r="J226" s="418"/>
      <c r="K226" s="445"/>
      <c r="L226" s="418"/>
      <c r="M226" s="445"/>
      <c r="N226" s="418"/>
      <c r="O226" s="445"/>
      <c r="P226" s="418"/>
      <c r="Q226" s="445"/>
      <c r="R226" s="418"/>
      <c r="S226" s="445"/>
      <c r="T226" s="416"/>
      <c r="U226" s="445"/>
      <c r="V226" s="418"/>
      <c r="W226" s="445"/>
      <c r="X226" s="416"/>
      <c r="Y226" s="445"/>
      <c r="Z226" s="418"/>
      <c r="AA226" s="446"/>
      <c r="AB226" s="416"/>
      <c r="AC226" s="445"/>
      <c r="AD226" s="418"/>
      <c r="AE226" s="446"/>
      <c r="AF226" s="416"/>
      <c r="AG226" s="445"/>
      <c r="AH226" s="418"/>
      <c r="AI226" s="446"/>
      <c r="AJ226" s="416"/>
      <c r="AK226" s="445"/>
      <c r="AL226" s="418"/>
      <c r="AM226" s="446"/>
      <c r="AN226" s="416"/>
      <c r="AO226" s="447"/>
      <c r="AP226" s="426"/>
    </row>
    <row r="227" spans="1:42" ht="12.5">
      <c r="A227" s="490"/>
      <c r="B227" s="395"/>
      <c r="C227" s="393"/>
      <c r="D227" s="472"/>
      <c r="E227" s="473"/>
      <c r="F227" s="489"/>
      <c r="G227" s="419"/>
      <c r="H227" s="418"/>
      <c r="I227" s="445"/>
      <c r="J227" s="418"/>
      <c r="K227" s="445"/>
      <c r="L227" s="418"/>
      <c r="M227" s="445"/>
      <c r="N227" s="418"/>
      <c r="O227" s="445"/>
      <c r="P227" s="418"/>
      <c r="Q227" s="445"/>
      <c r="R227" s="418"/>
      <c r="S227" s="445"/>
      <c r="T227" s="416"/>
      <c r="U227" s="445"/>
      <c r="V227" s="418"/>
      <c r="W227" s="445"/>
      <c r="X227" s="416"/>
      <c r="Y227" s="445"/>
      <c r="Z227" s="418"/>
      <c r="AA227" s="446"/>
      <c r="AB227" s="416"/>
      <c r="AC227" s="445"/>
      <c r="AD227" s="418"/>
      <c r="AE227" s="446"/>
      <c r="AF227" s="416"/>
      <c r="AG227" s="445"/>
      <c r="AH227" s="418"/>
      <c r="AI227" s="446"/>
      <c r="AJ227" s="416"/>
      <c r="AK227" s="445"/>
      <c r="AL227" s="418"/>
      <c r="AM227" s="446"/>
      <c r="AN227" s="416"/>
      <c r="AO227" s="447"/>
      <c r="AP227" s="426"/>
    </row>
    <row r="228" spans="1:42" ht="12.5">
      <c r="A228" s="490"/>
      <c r="B228" s="395"/>
      <c r="C228" s="393"/>
      <c r="D228" s="472"/>
      <c r="E228" s="473"/>
      <c r="F228" s="489"/>
      <c r="G228" s="419"/>
      <c r="H228" s="418"/>
      <c r="I228" s="445"/>
      <c r="J228" s="418"/>
      <c r="K228" s="445"/>
      <c r="L228" s="418"/>
      <c r="M228" s="445"/>
      <c r="N228" s="418"/>
      <c r="O228" s="445"/>
      <c r="P228" s="418"/>
      <c r="Q228" s="445"/>
      <c r="R228" s="418"/>
      <c r="S228" s="445"/>
      <c r="T228" s="416"/>
      <c r="U228" s="445"/>
      <c r="V228" s="418"/>
      <c r="W228" s="445"/>
      <c r="X228" s="416"/>
      <c r="Y228" s="445"/>
      <c r="Z228" s="418"/>
      <c r="AA228" s="446"/>
      <c r="AB228" s="416"/>
      <c r="AC228" s="445"/>
      <c r="AD228" s="418"/>
      <c r="AE228" s="446"/>
      <c r="AF228" s="416"/>
      <c r="AG228" s="445"/>
      <c r="AH228" s="418"/>
      <c r="AI228" s="446"/>
      <c r="AJ228" s="416"/>
      <c r="AK228" s="445"/>
      <c r="AL228" s="418"/>
      <c r="AM228" s="446"/>
      <c r="AN228" s="416"/>
      <c r="AO228" s="447"/>
      <c r="AP228" s="426"/>
    </row>
    <row r="229" spans="1:42" ht="12.5">
      <c r="A229" s="490"/>
      <c r="B229" s="395"/>
      <c r="C229" s="393"/>
      <c r="D229" s="472"/>
      <c r="E229" s="473"/>
      <c r="F229" s="489"/>
      <c r="G229" s="419"/>
      <c r="H229" s="418"/>
      <c r="I229" s="445"/>
      <c r="J229" s="418"/>
      <c r="K229" s="445"/>
      <c r="L229" s="418"/>
      <c r="M229" s="445"/>
      <c r="N229" s="418"/>
      <c r="O229" s="445"/>
      <c r="P229" s="418"/>
      <c r="Q229" s="445"/>
      <c r="R229" s="418"/>
      <c r="S229" s="445"/>
      <c r="T229" s="416"/>
      <c r="U229" s="445"/>
      <c r="V229" s="418"/>
      <c r="W229" s="445"/>
      <c r="X229" s="416"/>
      <c r="Y229" s="445"/>
      <c r="Z229" s="418"/>
      <c r="AA229" s="446"/>
      <c r="AB229" s="416"/>
      <c r="AC229" s="445"/>
      <c r="AD229" s="418"/>
      <c r="AE229" s="446"/>
      <c r="AF229" s="416"/>
      <c r="AG229" s="445"/>
      <c r="AH229" s="418"/>
      <c r="AI229" s="446"/>
      <c r="AJ229" s="416"/>
      <c r="AK229" s="445"/>
      <c r="AL229" s="418"/>
      <c r="AM229" s="446"/>
      <c r="AN229" s="416"/>
      <c r="AO229" s="447"/>
      <c r="AP229" s="426"/>
    </row>
    <row r="230" spans="1:42" ht="12.5">
      <c r="A230" s="490"/>
      <c r="B230" s="395"/>
      <c r="C230" s="393"/>
      <c r="D230" s="472"/>
      <c r="E230" s="473"/>
      <c r="F230" s="489"/>
      <c r="G230" s="419"/>
      <c r="H230" s="418"/>
      <c r="I230" s="445"/>
      <c r="J230" s="418"/>
      <c r="K230" s="445"/>
      <c r="L230" s="418"/>
      <c r="M230" s="445"/>
      <c r="N230" s="418"/>
      <c r="O230" s="445"/>
      <c r="P230" s="418"/>
      <c r="Q230" s="445"/>
      <c r="R230" s="418"/>
      <c r="S230" s="445"/>
      <c r="T230" s="416"/>
      <c r="U230" s="445"/>
      <c r="V230" s="418"/>
      <c r="W230" s="445"/>
      <c r="X230" s="416"/>
      <c r="Y230" s="445"/>
      <c r="Z230" s="418"/>
      <c r="AA230" s="446"/>
      <c r="AB230" s="416"/>
      <c r="AC230" s="445"/>
      <c r="AD230" s="418"/>
      <c r="AE230" s="446"/>
      <c r="AF230" s="416"/>
      <c r="AG230" s="445"/>
      <c r="AH230" s="418"/>
      <c r="AI230" s="446"/>
      <c r="AJ230" s="416"/>
      <c r="AK230" s="445"/>
      <c r="AL230" s="418"/>
      <c r="AM230" s="446"/>
      <c r="AN230" s="416"/>
      <c r="AO230" s="447"/>
      <c r="AP230" s="426"/>
    </row>
    <row r="231" spans="1:42" ht="12.5">
      <c r="A231" s="490"/>
      <c r="B231" s="395"/>
      <c r="C231" s="393"/>
      <c r="D231" s="472"/>
      <c r="E231" s="473"/>
      <c r="F231" s="489"/>
      <c r="G231" s="419"/>
      <c r="H231" s="418"/>
      <c r="I231" s="445"/>
      <c r="J231" s="418"/>
      <c r="K231" s="445"/>
      <c r="L231" s="418"/>
      <c r="M231" s="445"/>
      <c r="N231" s="418"/>
      <c r="O231" s="445"/>
      <c r="P231" s="418"/>
      <c r="Q231" s="445"/>
      <c r="R231" s="418"/>
      <c r="S231" s="445"/>
      <c r="T231" s="416"/>
      <c r="U231" s="445"/>
      <c r="V231" s="418"/>
      <c r="W231" s="445"/>
      <c r="X231" s="416"/>
      <c r="Y231" s="445"/>
      <c r="Z231" s="418"/>
      <c r="AA231" s="446"/>
      <c r="AB231" s="416"/>
      <c r="AC231" s="445"/>
      <c r="AD231" s="418"/>
      <c r="AE231" s="446"/>
      <c r="AF231" s="416"/>
      <c r="AG231" s="445"/>
      <c r="AH231" s="418"/>
      <c r="AI231" s="446"/>
      <c r="AJ231" s="416"/>
      <c r="AK231" s="445"/>
      <c r="AL231" s="418"/>
      <c r="AM231" s="446"/>
      <c r="AN231" s="416"/>
      <c r="AO231" s="447"/>
      <c r="AP231" s="426"/>
    </row>
    <row r="232" spans="1:42" ht="12.5">
      <c r="A232" s="490"/>
      <c r="B232" s="395"/>
      <c r="C232" s="393"/>
      <c r="D232" s="472"/>
      <c r="E232" s="473"/>
      <c r="F232" s="489"/>
      <c r="G232" s="419"/>
      <c r="H232" s="418"/>
      <c r="I232" s="445"/>
      <c r="J232" s="418"/>
      <c r="K232" s="445"/>
      <c r="L232" s="418"/>
      <c r="M232" s="445"/>
      <c r="N232" s="418"/>
      <c r="O232" s="445"/>
      <c r="P232" s="418"/>
      <c r="Q232" s="445"/>
      <c r="R232" s="418"/>
      <c r="S232" s="445"/>
      <c r="T232" s="416"/>
      <c r="U232" s="445"/>
      <c r="V232" s="418"/>
      <c r="W232" s="445"/>
      <c r="X232" s="416"/>
      <c r="Y232" s="445"/>
      <c r="Z232" s="418"/>
      <c r="AA232" s="446"/>
      <c r="AB232" s="416"/>
      <c r="AC232" s="445"/>
      <c r="AD232" s="418"/>
      <c r="AE232" s="446"/>
      <c r="AF232" s="416"/>
      <c r="AG232" s="445"/>
      <c r="AH232" s="418"/>
      <c r="AI232" s="446"/>
      <c r="AJ232" s="416"/>
      <c r="AK232" s="445"/>
      <c r="AL232" s="418"/>
      <c r="AM232" s="446"/>
      <c r="AN232" s="416"/>
      <c r="AO232" s="447"/>
      <c r="AP232" s="426"/>
    </row>
    <row r="233" spans="1:42" ht="12.5">
      <c r="A233" s="490"/>
      <c r="B233" s="395"/>
      <c r="C233" s="393"/>
      <c r="D233" s="472"/>
      <c r="E233" s="473"/>
      <c r="F233" s="489"/>
      <c r="G233" s="419"/>
      <c r="H233" s="418"/>
      <c r="I233" s="445"/>
      <c r="J233" s="418"/>
      <c r="K233" s="445"/>
      <c r="L233" s="418"/>
      <c r="M233" s="445"/>
      <c r="N233" s="418"/>
      <c r="O233" s="445"/>
      <c r="P233" s="418"/>
      <c r="Q233" s="445"/>
      <c r="R233" s="418"/>
      <c r="S233" s="445"/>
      <c r="T233" s="416"/>
      <c r="U233" s="445"/>
      <c r="V233" s="418"/>
      <c r="W233" s="445"/>
      <c r="X233" s="416"/>
      <c r="Y233" s="445"/>
      <c r="Z233" s="418"/>
      <c r="AA233" s="446"/>
      <c r="AB233" s="416"/>
      <c r="AC233" s="445"/>
      <c r="AD233" s="418"/>
      <c r="AE233" s="446"/>
      <c r="AF233" s="416"/>
      <c r="AG233" s="445"/>
      <c r="AH233" s="418"/>
      <c r="AI233" s="446"/>
      <c r="AJ233" s="416"/>
      <c r="AK233" s="445"/>
      <c r="AL233" s="418"/>
      <c r="AM233" s="446"/>
      <c r="AN233" s="416"/>
      <c r="AO233" s="447"/>
      <c r="AP233" s="426"/>
    </row>
    <row r="234" spans="1:42" ht="12.5">
      <c r="A234" s="490"/>
      <c r="B234" s="395"/>
      <c r="C234" s="393"/>
      <c r="D234" s="472"/>
      <c r="E234" s="473"/>
      <c r="F234" s="489"/>
      <c r="G234" s="419"/>
      <c r="H234" s="418"/>
      <c r="I234" s="445"/>
      <c r="J234" s="418"/>
      <c r="K234" s="445"/>
      <c r="L234" s="418"/>
      <c r="M234" s="445"/>
      <c r="N234" s="418"/>
      <c r="O234" s="445"/>
      <c r="P234" s="418"/>
      <c r="Q234" s="445"/>
      <c r="R234" s="418"/>
      <c r="S234" s="445"/>
      <c r="T234" s="416"/>
      <c r="U234" s="445"/>
      <c r="V234" s="418"/>
      <c r="W234" s="445"/>
      <c r="X234" s="416"/>
      <c r="Y234" s="445"/>
      <c r="Z234" s="418"/>
      <c r="AA234" s="446"/>
      <c r="AB234" s="416"/>
      <c r="AC234" s="445"/>
      <c r="AD234" s="418"/>
      <c r="AE234" s="446"/>
      <c r="AF234" s="416"/>
      <c r="AG234" s="445"/>
      <c r="AH234" s="418"/>
      <c r="AI234" s="446"/>
      <c r="AJ234" s="416"/>
      <c r="AK234" s="445"/>
      <c r="AL234" s="418"/>
      <c r="AM234" s="446"/>
      <c r="AN234" s="416"/>
      <c r="AO234" s="447"/>
      <c r="AP234" s="426"/>
    </row>
    <row r="235" spans="1:42" ht="12.5">
      <c r="A235" s="490"/>
      <c r="B235" s="395"/>
      <c r="C235" s="393"/>
      <c r="D235" s="472"/>
      <c r="E235" s="473"/>
      <c r="F235" s="489"/>
      <c r="G235" s="419"/>
      <c r="H235" s="418"/>
      <c r="I235" s="445"/>
      <c r="J235" s="418"/>
      <c r="K235" s="445"/>
      <c r="L235" s="418"/>
      <c r="M235" s="445"/>
      <c r="N235" s="418"/>
      <c r="O235" s="445"/>
      <c r="P235" s="418"/>
      <c r="Q235" s="445"/>
      <c r="R235" s="418"/>
      <c r="S235" s="445"/>
      <c r="T235" s="416"/>
      <c r="U235" s="445"/>
      <c r="V235" s="418"/>
      <c r="W235" s="445"/>
      <c r="X235" s="416"/>
      <c r="Y235" s="445"/>
      <c r="Z235" s="418"/>
      <c r="AA235" s="446"/>
      <c r="AB235" s="416"/>
      <c r="AC235" s="445"/>
      <c r="AD235" s="418"/>
      <c r="AE235" s="446"/>
      <c r="AF235" s="416"/>
      <c r="AG235" s="445"/>
      <c r="AH235" s="418"/>
      <c r="AI235" s="446"/>
      <c r="AJ235" s="416"/>
      <c r="AK235" s="445"/>
      <c r="AL235" s="418"/>
      <c r="AM235" s="446"/>
      <c r="AN235" s="416"/>
      <c r="AO235" s="447"/>
      <c r="AP235" s="426"/>
    </row>
    <row r="236" spans="1:42" ht="12.5">
      <c r="A236" s="490"/>
      <c r="B236" s="395"/>
      <c r="C236" s="393"/>
      <c r="D236" s="472"/>
      <c r="E236" s="473"/>
      <c r="F236" s="489"/>
      <c r="G236" s="419"/>
      <c r="H236" s="418"/>
      <c r="I236" s="445"/>
      <c r="J236" s="418"/>
      <c r="K236" s="445"/>
      <c r="L236" s="418"/>
      <c r="M236" s="445"/>
      <c r="N236" s="418"/>
      <c r="O236" s="445"/>
      <c r="P236" s="418"/>
      <c r="Q236" s="445"/>
      <c r="R236" s="418"/>
      <c r="S236" s="445"/>
      <c r="T236" s="416"/>
      <c r="U236" s="445"/>
      <c r="V236" s="418"/>
      <c r="W236" s="445"/>
      <c r="X236" s="416"/>
      <c r="Y236" s="445"/>
      <c r="Z236" s="418"/>
      <c r="AA236" s="446"/>
      <c r="AB236" s="416"/>
      <c r="AC236" s="445"/>
      <c r="AD236" s="418"/>
      <c r="AE236" s="446"/>
      <c r="AF236" s="416"/>
      <c r="AG236" s="445"/>
      <c r="AH236" s="418"/>
      <c r="AI236" s="446"/>
      <c r="AJ236" s="416"/>
      <c r="AK236" s="445"/>
      <c r="AL236" s="418"/>
      <c r="AM236" s="446"/>
      <c r="AN236" s="416"/>
      <c r="AO236" s="447"/>
      <c r="AP236" s="426"/>
    </row>
    <row r="237" spans="1:42" ht="12.5">
      <c r="A237" s="490"/>
      <c r="B237" s="395"/>
      <c r="C237" s="393"/>
      <c r="D237" s="472"/>
      <c r="E237" s="473"/>
      <c r="F237" s="489"/>
      <c r="G237" s="419"/>
      <c r="H237" s="418"/>
      <c r="I237" s="445"/>
      <c r="J237" s="418"/>
      <c r="K237" s="445"/>
      <c r="L237" s="418"/>
      <c r="M237" s="445"/>
      <c r="N237" s="418"/>
      <c r="O237" s="445"/>
      <c r="P237" s="418"/>
      <c r="Q237" s="445"/>
      <c r="R237" s="418"/>
      <c r="S237" s="445"/>
      <c r="T237" s="416"/>
      <c r="U237" s="445"/>
      <c r="V237" s="418"/>
      <c r="W237" s="445"/>
      <c r="X237" s="416"/>
      <c r="Y237" s="445"/>
      <c r="Z237" s="418"/>
      <c r="AA237" s="446"/>
      <c r="AB237" s="416"/>
      <c r="AC237" s="445"/>
      <c r="AD237" s="418"/>
      <c r="AE237" s="446"/>
      <c r="AF237" s="416"/>
      <c r="AG237" s="445"/>
      <c r="AH237" s="418"/>
      <c r="AI237" s="446"/>
      <c r="AJ237" s="416"/>
      <c r="AK237" s="445"/>
      <c r="AL237" s="418"/>
      <c r="AM237" s="446"/>
      <c r="AN237" s="416"/>
      <c r="AO237" s="447"/>
      <c r="AP237" s="426"/>
    </row>
    <row r="238" spans="1:42" ht="12.5">
      <c r="A238" s="490"/>
      <c r="B238" s="395"/>
      <c r="C238" s="393"/>
      <c r="D238" s="472"/>
      <c r="E238" s="473"/>
      <c r="F238" s="489"/>
      <c r="G238" s="419"/>
      <c r="H238" s="418"/>
      <c r="I238" s="445"/>
      <c r="J238" s="418"/>
      <c r="K238" s="445"/>
      <c r="L238" s="418"/>
      <c r="M238" s="445"/>
      <c r="N238" s="418"/>
      <c r="O238" s="445"/>
      <c r="P238" s="418"/>
      <c r="Q238" s="445"/>
      <c r="R238" s="418"/>
      <c r="S238" s="445"/>
      <c r="T238" s="416"/>
      <c r="U238" s="445"/>
      <c r="V238" s="418"/>
      <c r="W238" s="445"/>
      <c r="X238" s="416"/>
      <c r="Y238" s="445"/>
      <c r="Z238" s="418"/>
      <c r="AA238" s="446"/>
      <c r="AB238" s="416"/>
      <c r="AC238" s="445"/>
      <c r="AD238" s="418"/>
      <c r="AE238" s="446"/>
      <c r="AF238" s="416"/>
      <c r="AG238" s="445"/>
      <c r="AH238" s="418"/>
      <c r="AI238" s="446"/>
      <c r="AJ238" s="416"/>
      <c r="AK238" s="445"/>
      <c r="AL238" s="418"/>
      <c r="AM238" s="446"/>
      <c r="AN238" s="416"/>
      <c r="AO238" s="447"/>
      <c r="AP238" s="426"/>
    </row>
    <row r="239" spans="1:42" ht="12.5">
      <c r="A239" s="490"/>
      <c r="B239" s="395"/>
      <c r="C239" s="393"/>
      <c r="D239" s="472"/>
      <c r="E239" s="473"/>
      <c r="F239" s="489"/>
      <c r="G239" s="419"/>
      <c r="H239" s="418"/>
      <c r="I239" s="445"/>
      <c r="J239" s="418"/>
      <c r="K239" s="445"/>
      <c r="L239" s="418"/>
      <c r="M239" s="445"/>
      <c r="N239" s="418"/>
      <c r="O239" s="445"/>
      <c r="P239" s="418"/>
      <c r="Q239" s="445"/>
      <c r="R239" s="418"/>
      <c r="S239" s="445"/>
      <c r="T239" s="416"/>
      <c r="U239" s="445"/>
      <c r="V239" s="418"/>
      <c r="W239" s="445"/>
      <c r="X239" s="416"/>
      <c r="Y239" s="445"/>
      <c r="Z239" s="418"/>
      <c r="AA239" s="446"/>
      <c r="AB239" s="416"/>
      <c r="AC239" s="445"/>
      <c r="AD239" s="418"/>
      <c r="AE239" s="446"/>
      <c r="AF239" s="416"/>
      <c r="AG239" s="445"/>
      <c r="AH239" s="418"/>
      <c r="AI239" s="446"/>
      <c r="AJ239" s="416"/>
      <c r="AK239" s="445"/>
      <c r="AL239" s="418"/>
      <c r="AM239" s="446"/>
      <c r="AN239" s="416"/>
      <c r="AO239" s="447"/>
      <c r="AP239" s="426"/>
    </row>
    <row r="240" spans="1:42" ht="12.5">
      <c r="A240" s="490"/>
      <c r="B240" s="395"/>
      <c r="C240" s="393"/>
      <c r="D240" s="472"/>
      <c r="E240" s="473"/>
      <c r="F240" s="489"/>
      <c r="G240" s="419"/>
      <c r="H240" s="418"/>
      <c r="I240" s="445"/>
      <c r="J240" s="418"/>
      <c r="K240" s="445"/>
      <c r="L240" s="418"/>
      <c r="M240" s="445"/>
      <c r="N240" s="418"/>
      <c r="O240" s="445"/>
      <c r="P240" s="418"/>
      <c r="Q240" s="445"/>
      <c r="R240" s="418"/>
      <c r="S240" s="445"/>
      <c r="T240" s="416"/>
      <c r="U240" s="445"/>
      <c r="V240" s="418"/>
      <c r="W240" s="445"/>
      <c r="X240" s="416"/>
      <c r="Y240" s="445"/>
      <c r="Z240" s="418"/>
      <c r="AA240" s="446"/>
      <c r="AB240" s="416"/>
      <c r="AC240" s="445"/>
      <c r="AD240" s="418"/>
      <c r="AE240" s="446"/>
      <c r="AF240" s="416"/>
      <c r="AG240" s="445"/>
      <c r="AH240" s="418"/>
      <c r="AI240" s="446"/>
      <c r="AJ240" s="416"/>
      <c r="AK240" s="445"/>
      <c r="AL240" s="418"/>
      <c r="AM240" s="446"/>
      <c r="AN240" s="416"/>
      <c r="AO240" s="447"/>
      <c r="AP240" s="426"/>
    </row>
    <row r="241" spans="1:42" ht="12.5">
      <c r="A241" s="490"/>
      <c r="B241" s="395"/>
      <c r="C241" s="393"/>
      <c r="D241" s="472"/>
      <c r="E241" s="473"/>
      <c r="F241" s="489"/>
      <c r="G241" s="419"/>
      <c r="H241" s="418"/>
      <c r="I241" s="445"/>
      <c r="J241" s="418"/>
      <c r="K241" s="445"/>
      <c r="L241" s="418"/>
      <c r="M241" s="445"/>
      <c r="N241" s="418"/>
      <c r="O241" s="445"/>
      <c r="P241" s="418"/>
      <c r="Q241" s="445"/>
      <c r="R241" s="418"/>
      <c r="S241" s="445"/>
      <c r="T241" s="416"/>
      <c r="U241" s="445"/>
      <c r="V241" s="418"/>
      <c r="W241" s="445"/>
      <c r="X241" s="416"/>
      <c r="Y241" s="445"/>
      <c r="Z241" s="418"/>
      <c r="AA241" s="446"/>
      <c r="AB241" s="416"/>
      <c r="AC241" s="445"/>
      <c r="AD241" s="418"/>
      <c r="AE241" s="446"/>
      <c r="AF241" s="416"/>
      <c r="AG241" s="445"/>
      <c r="AH241" s="418"/>
      <c r="AI241" s="446"/>
      <c r="AJ241" s="416"/>
      <c r="AK241" s="445"/>
      <c r="AL241" s="418"/>
      <c r="AM241" s="446"/>
      <c r="AN241" s="416"/>
      <c r="AO241" s="447"/>
      <c r="AP241" s="426"/>
    </row>
    <row r="242" spans="1:42" ht="12.5">
      <c r="A242" s="490"/>
      <c r="B242" s="395"/>
      <c r="C242" s="393"/>
      <c r="D242" s="472"/>
      <c r="E242" s="473"/>
      <c r="F242" s="489"/>
      <c r="G242" s="419"/>
      <c r="H242" s="418"/>
      <c r="I242" s="445"/>
      <c r="J242" s="418"/>
      <c r="K242" s="445"/>
      <c r="L242" s="418"/>
      <c r="M242" s="445"/>
      <c r="N242" s="418"/>
      <c r="O242" s="445"/>
      <c r="P242" s="418"/>
      <c r="Q242" s="445"/>
      <c r="R242" s="418"/>
      <c r="S242" s="445"/>
      <c r="T242" s="416"/>
      <c r="U242" s="445"/>
      <c r="V242" s="418"/>
      <c r="W242" s="445"/>
      <c r="X242" s="416"/>
      <c r="Y242" s="445"/>
      <c r="Z242" s="418"/>
      <c r="AA242" s="446"/>
      <c r="AB242" s="416"/>
      <c r="AC242" s="445"/>
      <c r="AD242" s="418"/>
      <c r="AE242" s="446"/>
      <c r="AF242" s="416"/>
      <c r="AG242" s="445"/>
      <c r="AH242" s="418"/>
      <c r="AI242" s="446"/>
      <c r="AJ242" s="416"/>
      <c r="AK242" s="445"/>
      <c r="AL242" s="418"/>
      <c r="AM242" s="446"/>
      <c r="AN242" s="416"/>
      <c r="AO242" s="447"/>
      <c r="AP242" s="426"/>
    </row>
    <row r="243" spans="1:42" ht="12.5">
      <c r="A243" s="490"/>
      <c r="B243" s="395"/>
      <c r="C243" s="393"/>
      <c r="D243" s="472"/>
      <c r="E243" s="473"/>
      <c r="F243" s="489"/>
      <c r="G243" s="419"/>
      <c r="H243" s="418"/>
      <c r="I243" s="445"/>
      <c r="J243" s="418"/>
      <c r="K243" s="445"/>
      <c r="L243" s="418"/>
      <c r="M243" s="445"/>
      <c r="N243" s="418"/>
      <c r="O243" s="445"/>
      <c r="P243" s="418"/>
      <c r="Q243" s="445"/>
      <c r="R243" s="418"/>
      <c r="S243" s="445"/>
      <c r="T243" s="416"/>
      <c r="U243" s="445"/>
      <c r="V243" s="418"/>
      <c r="W243" s="445"/>
      <c r="X243" s="416"/>
      <c r="Y243" s="445"/>
      <c r="Z243" s="418"/>
      <c r="AA243" s="446"/>
      <c r="AB243" s="416"/>
      <c r="AC243" s="445"/>
      <c r="AD243" s="418"/>
      <c r="AE243" s="446"/>
      <c r="AF243" s="416"/>
      <c r="AG243" s="445"/>
      <c r="AH243" s="418"/>
      <c r="AI243" s="446"/>
      <c r="AJ243" s="416"/>
      <c r="AK243" s="445"/>
      <c r="AL243" s="418"/>
      <c r="AM243" s="446"/>
      <c r="AN243" s="416"/>
      <c r="AO243" s="447"/>
      <c r="AP243" s="426"/>
    </row>
    <row r="244" spans="1:42" ht="12.5">
      <c r="A244" s="490"/>
      <c r="B244" s="395"/>
      <c r="C244" s="393"/>
      <c r="D244" s="472"/>
      <c r="E244" s="473"/>
      <c r="F244" s="489"/>
      <c r="G244" s="419"/>
      <c r="H244" s="418"/>
      <c r="I244" s="445"/>
      <c r="J244" s="418"/>
      <c r="K244" s="445"/>
      <c r="L244" s="418"/>
      <c r="M244" s="445"/>
      <c r="N244" s="418"/>
      <c r="O244" s="445"/>
      <c r="P244" s="418"/>
      <c r="Q244" s="445"/>
      <c r="R244" s="418"/>
      <c r="S244" s="445"/>
      <c r="T244" s="416"/>
      <c r="U244" s="445"/>
      <c r="V244" s="418"/>
      <c r="W244" s="445"/>
      <c r="X244" s="416"/>
      <c r="Y244" s="445"/>
      <c r="Z244" s="418"/>
      <c r="AA244" s="446"/>
      <c r="AB244" s="416"/>
      <c r="AC244" s="445"/>
      <c r="AD244" s="418"/>
      <c r="AE244" s="446"/>
      <c r="AF244" s="416"/>
      <c r="AG244" s="445"/>
      <c r="AH244" s="418"/>
      <c r="AI244" s="446"/>
      <c r="AJ244" s="416"/>
      <c r="AK244" s="445"/>
      <c r="AL244" s="418"/>
      <c r="AM244" s="446"/>
      <c r="AN244" s="416"/>
      <c r="AO244" s="447"/>
      <c r="AP244" s="426"/>
    </row>
    <row r="245" spans="1:42" ht="12.5">
      <c r="A245" s="490"/>
      <c r="B245" s="395"/>
      <c r="C245" s="393"/>
      <c r="D245" s="472"/>
      <c r="E245" s="473"/>
      <c r="F245" s="489"/>
      <c r="G245" s="419"/>
      <c r="H245" s="418"/>
      <c r="I245" s="445"/>
      <c r="J245" s="418"/>
      <c r="K245" s="445"/>
      <c r="L245" s="418"/>
      <c r="M245" s="445"/>
      <c r="N245" s="418"/>
      <c r="O245" s="445"/>
      <c r="P245" s="418"/>
      <c r="Q245" s="445"/>
      <c r="R245" s="418"/>
      <c r="S245" s="445"/>
      <c r="T245" s="416"/>
      <c r="U245" s="445"/>
      <c r="V245" s="418"/>
      <c r="W245" s="445"/>
      <c r="X245" s="416"/>
      <c r="Y245" s="445"/>
      <c r="Z245" s="418"/>
      <c r="AA245" s="446"/>
      <c r="AB245" s="416"/>
      <c r="AC245" s="445"/>
      <c r="AD245" s="418"/>
      <c r="AE245" s="446"/>
      <c r="AF245" s="416"/>
      <c r="AG245" s="445"/>
      <c r="AH245" s="418"/>
      <c r="AI245" s="446"/>
      <c r="AJ245" s="416"/>
      <c r="AK245" s="445"/>
      <c r="AL245" s="418"/>
      <c r="AM245" s="446"/>
      <c r="AN245" s="416"/>
      <c r="AO245" s="447"/>
      <c r="AP245" s="426"/>
    </row>
    <row r="246" spans="1:42" ht="12.5">
      <c r="A246" s="490"/>
      <c r="B246" s="395"/>
      <c r="C246" s="393"/>
      <c r="D246" s="472"/>
      <c r="E246" s="473"/>
      <c r="F246" s="489"/>
      <c r="G246" s="419"/>
      <c r="H246" s="418"/>
      <c r="I246" s="445"/>
      <c r="J246" s="418"/>
      <c r="K246" s="445"/>
      <c r="L246" s="418"/>
      <c r="M246" s="445"/>
      <c r="N246" s="418"/>
      <c r="O246" s="445"/>
      <c r="P246" s="418"/>
      <c r="Q246" s="445"/>
      <c r="R246" s="418"/>
      <c r="S246" s="445"/>
      <c r="T246" s="416"/>
      <c r="U246" s="445"/>
      <c r="V246" s="418"/>
      <c r="W246" s="445"/>
      <c r="X246" s="416"/>
      <c r="Y246" s="445"/>
      <c r="Z246" s="418"/>
      <c r="AA246" s="446"/>
      <c r="AB246" s="416"/>
      <c r="AC246" s="445"/>
      <c r="AD246" s="418"/>
      <c r="AE246" s="446"/>
      <c r="AF246" s="416"/>
      <c r="AG246" s="445"/>
      <c r="AH246" s="418"/>
      <c r="AI246" s="446"/>
      <c r="AJ246" s="416"/>
      <c r="AK246" s="445"/>
      <c r="AL246" s="418"/>
      <c r="AM246" s="446"/>
      <c r="AN246" s="416"/>
      <c r="AO246" s="447"/>
      <c r="AP246" s="426"/>
    </row>
    <row r="247" spans="1:42" ht="12.5">
      <c r="A247" s="490"/>
      <c r="B247" s="395"/>
      <c r="C247" s="393"/>
      <c r="D247" s="472"/>
      <c r="E247" s="473"/>
      <c r="F247" s="489"/>
      <c r="G247" s="419"/>
      <c r="H247" s="418"/>
      <c r="I247" s="445"/>
      <c r="J247" s="418"/>
      <c r="K247" s="445"/>
      <c r="L247" s="418"/>
      <c r="M247" s="445"/>
      <c r="N247" s="418"/>
      <c r="O247" s="445"/>
      <c r="P247" s="418"/>
      <c r="Q247" s="445"/>
      <c r="R247" s="418"/>
      <c r="S247" s="445"/>
      <c r="T247" s="416"/>
      <c r="U247" s="445"/>
      <c r="V247" s="418"/>
      <c r="W247" s="445"/>
      <c r="X247" s="416"/>
      <c r="Y247" s="445"/>
      <c r="Z247" s="418"/>
      <c r="AA247" s="446"/>
      <c r="AB247" s="416"/>
      <c r="AC247" s="445"/>
      <c r="AD247" s="418"/>
      <c r="AE247" s="446"/>
      <c r="AF247" s="416"/>
      <c r="AG247" s="445"/>
      <c r="AH247" s="418"/>
      <c r="AI247" s="446"/>
      <c r="AJ247" s="416"/>
      <c r="AK247" s="445"/>
      <c r="AL247" s="418"/>
      <c r="AM247" s="446"/>
      <c r="AN247" s="416"/>
      <c r="AO247" s="447"/>
      <c r="AP247" s="426"/>
    </row>
    <row r="248" spans="1:42" ht="12.5">
      <c r="A248" s="490"/>
      <c r="B248" s="395"/>
      <c r="C248" s="393"/>
      <c r="D248" s="472"/>
      <c r="E248" s="473"/>
      <c r="F248" s="489"/>
      <c r="G248" s="419"/>
      <c r="H248" s="418"/>
      <c r="I248" s="445"/>
      <c r="J248" s="418"/>
      <c r="K248" s="445"/>
      <c r="L248" s="418"/>
      <c r="M248" s="445"/>
      <c r="N248" s="418"/>
      <c r="O248" s="445"/>
      <c r="P248" s="418"/>
      <c r="Q248" s="445"/>
      <c r="R248" s="418"/>
      <c r="S248" s="445"/>
      <c r="T248" s="416"/>
      <c r="U248" s="445"/>
      <c r="V248" s="418"/>
      <c r="W248" s="445"/>
      <c r="X248" s="416"/>
      <c r="Y248" s="445"/>
      <c r="Z248" s="418"/>
      <c r="AA248" s="446"/>
      <c r="AB248" s="416"/>
      <c r="AC248" s="445"/>
      <c r="AD248" s="418"/>
      <c r="AE248" s="446"/>
      <c r="AF248" s="416"/>
      <c r="AG248" s="445"/>
      <c r="AH248" s="418"/>
      <c r="AI248" s="446"/>
      <c r="AJ248" s="416"/>
      <c r="AK248" s="445"/>
      <c r="AL248" s="418"/>
      <c r="AM248" s="446"/>
      <c r="AN248" s="416"/>
      <c r="AO248" s="447"/>
      <c r="AP248" s="426"/>
    </row>
    <row r="249" spans="1:42" ht="12.5">
      <c r="A249" s="490"/>
      <c r="B249" s="395"/>
      <c r="C249" s="393"/>
      <c r="D249" s="472"/>
      <c r="E249" s="473"/>
      <c r="F249" s="489"/>
      <c r="G249" s="419"/>
      <c r="H249" s="418"/>
      <c r="I249" s="445"/>
      <c r="J249" s="418"/>
      <c r="K249" s="445"/>
      <c r="L249" s="418"/>
      <c r="M249" s="445"/>
      <c r="N249" s="418"/>
      <c r="O249" s="445"/>
      <c r="P249" s="418"/>
      <c r="Q249" s="445"/>
      <c r="R249" s="418"/>
      <c r="S249" s="445"/>
      <c r="T249" s="416"/>
      <c r="U249" s="445"/>
      <c r="V249" s="418"/>
      <c r="W249" s="445"/>
      <c r="X249" s="416"/>
      <c r="Y249" s="445"/>
      <c r="Z249" s="418"/>
      <c r="AA249" s="446"/>
      <c r="AB249" s="416"/>
      <c r="AC249" s="445"/>
      <c r="AD249" s="418"/>
      <c r="AE249" s="446"/>
      <c r="AF249" s="416"/>
      <c r="AG249" s="445"/>
      <c r="AH249" s="418"/>
      <c r="AI249" s="446"/>
      <c r="AJ249" s="416"/>
      <c r="AK249" s="445"/>
      <c r="AL249" s="418"/>
      <c r="AM249" s="446"/>
      <c r="AN249" s="416"/>
      <c r="AO249" s="447"/>
      <c r="AP249" s="426"/>
    </row>
    <row r="250" spans="1:42" ht="12.5">
      <c r="A250" s="490"/>
      <c r="B250" s="395"/>
      <c r="C250" s="393"/>
      <c r="D250" s="472"/>
      <c r="E250" s="473"/>
      <c r="F250" s="489"/>
      <c r="G250" s="419"/>
      <c r="H250" s="418"/>
      <c r="I250" s="445"/>
      <c r="J250" s="418"/>
      <c r="K250" s="445"/>
      <c r="L250" s="418"/>
      <c r="M250" s="445"/>
      <c r="N250" s="418"/>
      <c r="O250" s="445"/>
      <c r="P250" s="418"/>
      <c r="Q250" s="445"/>
      <c r="R250" s="418"/>
      <c r="S250" s="445"/>
      <c r="T250" s="416"/>
      <c r="U250" s="445"/>
      <c r="V250" s="418"/>
      <c r="W250" s="445"/>
      <c r="X250" s="416"/>
      <c r="Y250" s="445"/>
      <c r="Z250" s="418"/>
      <c r="AA250" s="446"/>
      <c r="AB250" s="416"/>
      <c r="AC250" s="445"/>
      <c r="AD250" s="418"/>
      <c r="AE250" s="446"/>
      <c r="AF250" s="416"/>
      <c r="AG250" s="445"/>
      <c r="AH250" s="418"/>
      <c r="AI250" s="446"/>
      <c r="AJ250" s="416"/>
      <c r="AK250" s="445"/>
      <c r="AL250" s="418"/>
      <c r="AM250" s="446"/>
      <c r="AN250" s="416"/>
      <c r="AO250" s="447"/>
      <c r="AP250" s="426"/>
    </row>
    <row r="251" spans="1:42" ht="12.5">
      <c r="A251" s="490"/>
      <c r="B251" s="395"/>
      <c r="C251" s="393"/>
      <c r="D251" s="472"/>
      <c r="E251" s="473"/>
      <c r="F251" s="489"/>
      <c r="G251" s="419"/>
      <c r="H251" s="418"/>
      <c r="I251" s="445"/>
      <c r="J251" s="418"/>
      <c r="K251" s="445"/>
      <c r="L251" s="418"/>
      <c r="M251" s="445"/>
      <c r="N251" s="418"/>
      <c r="O251" s="445"/>
      <c r="P251" s="418"/>
      <c r="Q251" s="445"/>
      <c r="R251" s="418"/>
      <c r="S251" s="445"/>
      <c r="T251" s="416"/>
      <c r="U251" s="445"/>
      <c r="V251" s="418"/>
      <c r="W251" s="445"/>
      <c r="X251" s="416"/>
      <c r="Y251" s="445"/>
      <c r="Z251" s="418"/>
      <c r="AA251" s="446"/>
      <c r="AB251" s="416"/>
      <c r="AC251" s="445"/>
      <c r="AD251" s="418"/>
      <c r="AE251" s="446"/>
      <c r="AF251" s="416"/>
      <c r="AG251" s="445"/>
      <c r="AH251" s="418"/>
      <c r="AI251" s="446"/>
      <c r="AJ251" s="416"/>
      <c r="AK251" s="445"/>
      <c r="AL251" s="418"/>
      <c r="AM251" s="446"/>
      <c r="AN251" s="416"/>
      <c r="AO251" s="447"/>
      <c r="AP251" s="426"/>
    </row>
    <row r="252" spans="1:42" ht="12.5">
      <c r="A252" s="490"/>
      <c r="B252" s="395"/>
      <c r="C252" s="393"/>
      <c r="D252" s="472"/>
      <c r="E252" s="473"/>
      <c r="F252" s="489"/>
      <c r="G252" s="419"/>
      <c r="H252" s="418"/>
      <c r="I252" s="445"/>
      <c r="J252" s="418"/>
      <c r="K252" s="445"/>
      <c r="L252" s="418"/>
      <c r="M252" s="445"/>
      <c r="N252" s="418"/>
      <c r="O252" s="445"/>
      <c r="P252" s="418"/>
      <c r="Q252" s="445"/>
      <c r="R252" s="418"/>
      <c r="S252" s="445"/>
      <c r="T252" s="416"/>
      <c r="U252" s="445"/>
      <c r="V252" s="418"/>
      <c r="W252" s="445"/>
      <c r="X252" s="416"/>
      <c r="Y252" s="445"/>
      <c r="Z252" s="418"/>
      <c r="AA252" s="446"/>
      <c r="AB252" s="416"/>
      <c r="AC252" s="445"/>
      <c r="AD252" s="418"/>
      <c r="AE252" s="446"/>
      <c r="AF252" s="416"/>
      <c r="AG252" s="445"/>
      <c r="AH252" s="418"/>
      <c r="AI252" s="446"/>
      <c r="AJ252" s="416"/>
      <c r="AK252" s="445"/>
      <c r="AL252" s="418"/>
      <c r="AM252" s="446"/>
      <c r="AN252" s="416"/>
      <c r="AO252" s="447"/>
      <c r="AP252" s="426"/>
    </row>
    <row r="253" spans="1:42" ht="12.5">
      <c r="A253" s="490"/>
      <c r="B253" s="395"/>
      <c r="C253" s="393"/>
      <c r="D253" s="472"/>
      <c r="E253" s="473"/>
      <c r="F253" s="489"/>
      <c r="G253" s="419"/>
      <c r="H253" s="418"/>
      <c r="I253" s="445"/>
      <c r="J253" s="418"/>
      <c r="K253" s="445"/>
      <c r="L253" s="418"/>
      <c r="M253" s="445"/>
      <c r="N253" s="418"/>
      <c r="O253" s="445"/>
      <c r="P253" s="418"/>
      <c r="Q253" s="445"/>
      <c r="R253" s="418"/>
      <c r="S253" s="445"/>
      <c r="T253" s="416"/>
      <c r="U253" s="445"/>
      <c r="V253" s="418"/>
      <c r="W253" s="445"/>
      <c r="X253" s="416"/>
      <c r="Y253" s="445"/>
      <c r="Z253" s="418"/>
      <c r="AA253" s="446"/>
      <c r="AB253" s="416"/>
      <c r="AC253" s="445"/>
      <c r="AD253" s="418"/>
      <c r="AE253" s="446"/>
      <c r="AF253" s="416"/>
      <c r="AG253" s="445"/>
      <c r="AH253" s="418"/>
      <c r="AI253" s="446"/>
      <c r="AJ253" s="416"/>
      <c r="AK253" s="445"/>
      <c r="AL253" s="418"/>
      <c r="AM253" s="446"/>
      <c r="AN253" s="416"/>
      <c r="AO253" s="447"/>
      <c r="AP253" s="426"/>
    </row>
    <row r="254" spans="1:42" ht="12.5">
      <c r="A254" s="490"/>
      <c r="B254" s="395"/>
      <c r="C254" s="393"/>
      <c r="D254" s="472"/>
      <c r="E254" s="473"/>
      <c r="F254" s="489"/>
      <c r="G254" s="419"/>
      <c r="H254" s="418"/>
      <c r="I254" s="445"/>
      <c r="J254" s="418"/>
      <c r="K254" s="445"/>
      <c r="L254" s="418"/>
      <c r="M254" s="445"/>
      <c r="N254" s="418"/>
      <c r="O254" s="445"/>
      <c r="P254" s="418"/>
      <c r="Q254" s="445"/>
      <c r="R254" s="418"/>
      <c r="S254" s="445"/>
      <c r="T254" s="416"/>
      <c r="U254" s="445"/>
      <c r="V254" s="418"/>
      <c r="W254" s="445"/>
      <c r="X254" s="416"/>
      <c r="Y254" s="445"/>
      <c r="Z254" s="418"/>
      <c r="AA254" s="446"/>
      <c r="AB254" s="416"/>
      <c r="AC254" s="445"/>
      <c r="AD254" s="418"/>
      <c r="AE254" s="446"/>
      <c r="AF254" s="416"/>
      <c r="AG254" s="445"/>
      <c r="AH254" s="418"/>
      <c r="AI254" s="446"/>
      <c r="AJ254" s="416"/>
      <c r="AK254" s="445"/>
      <c r="AL254" s="418"/>
      <c r="AM254" s="446"/>
      <c r="AN254" s="416"/>
      <c r="AO254" s="447"/>
      <c r="AP254" s="426"/>
    </row>
    <row r="255" spans="1:42" ht="12.5">
      <c r="A255" s="490"/>
      <c r="B255" s="395"/>
      <c r="C255" s="393"/>
      <c r="D255" s="472"/>
      <c r="E255" s="473"/>
      <c r="F255" s="489"/>
      <c r="G255" s="419"/>
      <c r="H255" s="418"/>
      <c r="I255" s="445"/>
      <c r="J255" s="418"/>
      <c r="K255" s="445"/>
      <c r="L255" s="418"/>
      <c r="M255" s="445"/>
      <c r="N255" s="418"/>
      <c r="O255" s="445"/>
      <c r="P255" s="418"/>
      <c r="Q255" s="445"/>
      <c r="R255" s="418"/>
      <c r="S255" s="445"/>
      <c r="T255" s="416"/>
      <c r="U255" s="445"/>
      <c r="V255" s="418"/>
      <c r="W255" s="445"/>
      <c r="X255" s="416"/>
      <c r="Y255" s="445"/>
      <c r="Z255" s="418"/>
      <c r="AA255" s="446"/>
      <c r="AB255" s="416"/>
      <c r="AC255" s="445"/>
      <c r="AD255" s="418"/>
      <c r="AE255" s="446"/>
      <c r="AF255" s="416"/>
      <c r="AG255" s="445"/>
      <c r="AH255" s="418"/>
      <c r="AI255" s="446"/>
      <c r="AJ255" s="416"/>
      <c r="AK255" s="445"/>
      <c r="AL255" s="418"/>
      <c r="AM255" s="446"/>
      <c r="AN255" s="416"/>
      <c r="AO255" s="447"/>
      <c r="AP255" s="426"/>
    </row>
    <row r="256" spans="1:42" ht="13" thickBot="1">
      <c r="A256" s="490"/>
      <c r="B256" s="395"/>
      <c r="C256" s="393"/>
      <c r="D256" s="472"/>
      <c r="E256" s="473"/>
      <c r="F256" s="489"/>
      <c r="G256" s="419"/>
      <c r="H256" s="418"/>
      <c r="I256" s="445"/>
      <c r="J256" s="418"/>
      <c r="K256" s="445"/>
      <c r="L256" s="418"/>
      <c r="M256" s="445"/>
      <c r="N256" s="418"/>
      <c r="O256" s="445"/>
      <c r="P256" s="418"/>
      <c r="Q256" s="445"/>
      <c r="R256" s="418"/>
      <c r="S256" s="445"/>
      <c r="T256" s="416"/>
      <c r="U256" s="445"/>
      <c r="V256" s="418"/>
      <c r="W256" s="445"/>
      <c r="X256" s="416"/>
      <c r="Y256" s="445"/>
      <c r="Z256" s="418"/>
      <c r="AA256" s="446"/>
      <c r="AB256" s="416"/>
      <c r="AC256" s="445"/>
      <c r="AD256" s="418"/>
      <c r="AE256" s="446"/>
      <c r="AF256" s="416"/>
      <c r="AG256" s="445"/>
      <c r="AH256" s="418"/>
      <c r="AI256" s="446"/>
      <c r="AJ256" s="416"/>
      <c r="AK256" s="445"/>
      <c r="AL256" s="418"/>
      <c r="AM256" s="446"/>
      <c r="AN256" s="416"/>
      <c r="AO256" s="447"/>
      <c r="AP256" s="426"/>
    </row>
    <row r="257" spans="1:42" s="19" customFormat="1" ht="13.5" thickTop="1">
      <c r="A257" s="35"/>
      <c r="B257" s="36"/>
      <c r="C257" s="92"/>
      <c r="D257" s="37"/>
      <c r="E257" s="448"/>
      <c r="F257" s="47"/>
      <c r="AP257" s="421"/>
    </row>
    <row r="258" spans="1:42" s="19" customFormat="1" ht="12.75" customHeight="1">
      <c r="A258" s="1554" t="s">
        <v>901</v>
      </c>
      <c r="B258" s="1555"/>
      <c r="C258" s="1555"/>
      <c r="D258" s="1555"/>
      <c r="E258" s="1555"/>
      <c r="F258" s="409">
        <f>SUM(F208:F256)</f>
        <v>1250600</v>
      </c>
      <c r="AP258" s="421"/>
    </row>
    <row r="259" spans="1:42" s="19" customFormat="1" ht="12.75" customHeight="1" thickBot="1">
      <c r="A259" s="508"/>
      <c r="B259" s="449"/>
      <c r="C259" s="449"/>
      <c r="D259" s="449"/>
      <c r="E259" s="449"/>
      <c r="F259" s="509"/>
      <c r="AP259" s="421"/>
    </row>
    <row r="260" spans="1:42" s="19" customFormat="1" ht="15" customHeight="1" thickTop="1">
      <c r="A260" s="137"/>
      <c r="B260" s="43"/>
      <c r="C260" s="137"/>
      <c r="D260" s="401"/>
      <c r="E260" s="402"/>
      <c r="F260" s="403"/>
      <c r="AP260" s="421"/>
    </row>
    <row r="261" spans="1:42" s="17" customFormat="1" ht="12.75" customHeight="1">
      <c r="A261" s="1548" t="s">
        <v>741</v>
      </c>
      <c r="B261" s="1548"/>
      <c r="C261" s="1548"/>
      <c r="D261" s="1548"/>
      <c r="E261" s="1548"/>
      <c r="F261" s="1548"/>
      <c r="AP261" s="65"/>
    </row>
    <row r="262" spans="1:42" s="17" customFormat="1" ht="13" thickBot="1">
      <c r="A262" s="121"/>
      <c r="B262" s="404"/>
      <c r="C262" s="405"/>
      <c r="D262" s="406"/>
      <c r="E262" s="45"/>
      <c r="F262" s="407"/>
      <c r="AP262" s="65"/>
    </row>
    <row r="263" spans="1:42" s="17" customFormat="1" ht="27" thickTop="1" thickBot="1">
      <c r="A263" s="2" t="s">
        <v>32</v>
      </c>
      <c r="B263" s="1549" t="s">
        <v>5</v>
      </c>
      <c r="C263" s="1549"/>
      <c r="D263" s="1549"/>
      <c r="E263" s="1549"/>
      <c r="F263" s="76" t="s">
        <v>8</v>
      </c>
      <c r="AP263" s="65"/>
    </row>
    <row r="264" spans="1:42" s="17" customFormat="1" ht="13" thickTop="1">
      <c r="A264" s="67"/>
      <c r="B264" s="450"/>
      <c r="C264" s="451"/>
      <c r="D264" s="452"/>
      <c r="E264" s="453"/>
      <c r="F264" s="68"/>
      <c r="AP264" s="65"/>
    </row>
    <row r="265" spans="1:42" s="17" customFormat="1" ht="13">
      <c r="A265" s="437"/>
      <c r="B265" s="62"/>
      <c r="C265" s="63"/>
      <c r="D265" s="510"/>
      <c r="E265" s="511"/>
      <c r="F265" s="66"/>
      <c r="AP265" s="65"/>
    </row>
    <row r="266" spans="1:42" s="17" customFormat="1" ht="13">
      <c r="A266" s="437"/>
      <c r="B266" s="1550" t="s">
        <v>902</v>
      </c>
      <c r="C266" s="1550"/>
      <c r="D266" s="1550"/>
      <c r="E266" s="1550"/>
      <c r="F266" s="71"/>
      <c r="AP266" s="65"/>
    </row>
    <row r="267" spans="1:42" s="17" customFormat="1" ht="13">
      <c r="A267" s="434"/>
      <c r="B267" s="60"/>
      <c r="C267" s="74"/>
      <c r="D267" s="512"/>
      <c r="E267" s="511"/>
      <c r="F267" s="71"/>
      <c r="AP267" s="65"/>
    </row>
    <row r="268" spans="1:42" s="17" customFormat="1" ht="13">
      <c r="A268" s="434"/>
      <c r="B268" s="61" t="s">
        <v>38</v>
      </c>
      <c r="C268" s="63"/>
      <c r="D268" s="510"/>
      <c r="E268" s="511"/>
      <c r="F268" s="72">
        <f>F47</f>
        <v>9889340</v>
      </c>
      <c r="AP268" s="65"/>
    </row>
    <row r="269" spans="1:42" s="17" customFormat="1" ht="13">
      <c r="A269" s="434"/>
      <c r="B269" s="61"/>
      <c r="C269" s="63"/>
      <c r="D269" s="510"/>
      <c r="E269" s="89"/>
      <c r="F269" s="513"/>
      <c r="AP269" s="65"/>
    </row>
    <row r="270" spans="1:42" s="17" customFormat="1" ht="13">
      <c r="A270" s="434"/>
      <c r="B270" s="61" t="s">
        <v>39</v>
      </c>
      <c r="C270" s="63"/>
      <c r="D270" s="510"/>
      <c r="E270" s="89"/>
      <c r="F270" s="73">
        <f>F105</f>
        <v>1117580</v>
      </c>
      <c r="AP270" s="65"/>
    </row>
    <row r="271" spans="1:42" s="17" customFormat="1" ht="13">
      <c r="A271" s="434"/>
      <c r="B271" s="61"/>
      <c r="C271" s="63"/>
      <c r="D271" s="510"/>
      <c r="E271" s="89"/>
      <c r="F271" s="64"/>
      <c r="AP271" s="65"/>
    </row>
    <row r="272" spans="1:42" s="17" customFormat="1" ht="13">
      <c r="A272" s="434"/>
      <c r="B272" s="1551" t="s">
        <v>40</v>
      </c>
      <c r="C272" s="1551"/>
      <c r="D272" s="1551"/>
      <c r="E272" s="1551"/>
      <c r="F272" s="73">
        <f>F152</f>
        <v>652235</v>
      </c>
      <c r="AP272" s="65"/>
    </row>
    <row r="273" spans="1:42" s="17" customFormat="1" ht="13">
      <c r="A273" s="434"/>
      <c r="B273" s="61"/>
      <c r="C273" s="63"/>
      <c r="D273" s="510"/>
      <c r="E273" s="89"/>
      <c r="F273" s="64"/>
      <c r="AP273" s="65"/>
    </row>
    <row r="274" spans="1:42" s="17" customFormat="1" ht="13">
      <c r="A274" s="434"/>
      <c r="B274" s="61" t="s">
        <v>929</v>
      </c>
      <c r="C274" s="63"/>
      <c r="D274" s="510"/>
      <c r="E274" s="89"/>
      <c r="F274" s="73">
        <f>F201</f>
        <v>1358039</v>
      </c>
      <c r="AP274" s="65"/>
    </row>
    <row r="275" spans="1:42" s="17" customFormat="1" ht="13">
      <c r="A275" s="434"/>
      <c r="B275" s="61"/>
      <c r="C275" s="63"/>
      <c r="D275" s="510"/>
      <c r="E275" s="89"/>
      <c r="F275" s="64"/>
      <c r="AP275" s="65"/>
    </row>
    <row r="276" spans="1:42" s="17" customFormat="1" ht="13">
      <c r="A276" s="434"/>
      <c r="B276" s="61" t="s">
        <v>41</v>
      </c>
      <c r="C276" s="74"/>
      <c r="D276" s="512"/>
      <c r="E276" s="89"/>
      <c r="F276" s="73">
        <f>F258</f>
        <v>1250600</v>
      </c>
      <c r="AP276" s="65"/>
    </row>
    <row r="277" spans="1:42" s="17" customFormat="1" ht="13">
      <c r="A277" s="434"/>
      <c r="B277" s="60"/>
      <c r="C277" s="74"/>
      <c r="D277" s="512"/>
      <c r="E277" s="89"/>
      <c r="F277" s="64"/>
      <c r="AP277" s="65"/>
    </row>
    <row r="278" spans="1:42" s="17" customFormat="1" ht="13">
      <c r="A278" s="434"/>
      <c r="B278" s="60"/>
      <c r="C278" s="74"/>
      <c r="D278" s="512"/>
      <c r="E278" s="89"/>
      <c r="F278" s="73"/>
      <c r="AP278" s="65"/>
    </row>
    <row r="279" spans="1:42" s="17" customFormat="1" ht="13">
      <c r="A279" s="434"/>
      <c r="B279" s="60"/>
      <c r="C279" s="74"/>
      <c r="D279" s="512"/>
      <c r="E279" s="89"/>
      <c r="F279" s="64"/>
      <c r="AP279" s="65"/>
    </row>
    <row r="280" spans="1:42" s="17" customFormat="1" ht="13">
      <c r="A280" s="434"/>
      <c r="B280" s="60"/>
      <c r="C280" s="74"/>
      <c r="D280" s="512"/>
      <c r="E280" s="89"/>
      <c r="F280" s="73"/>
      <c r="AP280" s="65"/>
    </row>
    <row r="281" spans="1:42" s="17" customFormat="1" ht="13">
      <c r="A281" s="434"/>
      <c r="B281" s="60"/>
      <c r="C281" s="74"/>
      <c r="D281" s="514"/>
      <c r="E281" s="89"/>
      <c r="F281" s="64"/>
      <c r="AP281" s="65"/>
    </row>
    <row r="282" spans="1:42" s="17" customFormat="1" ht="13">
      <c r="A282" s="434"/>
      <c r="B282" s="60"/>
      <c r="C282" s="74"/>
      <c r="D282" s="512"/>
      <c r="E282" s="89"/>
      <c r="F282" s="73"/>
      <c r="AP282" s="65"/>
    </row>
    <row r="283" spans="1:42" s="17" customFormat="1" ht="13">
      <c r="A283" s="434"/>
      <c r="B283" s="60"/>
      <c r="C283" s="74"/>
      <c r="D283" s="514"/>
      <c r="E283" s="89"/>
      <c r="F283" s="64"/>
      <c r="AP283" s="65"/>
    </row>
    <row r="284" spans="1:42" s="17" customFormat="1" ht="13">
      <c r="A284" s="434"/>
      <c r="B284" s="60"/>
      <c r="C284" s="74"/>
      <c r="D284" s="514"/>
      <c r="E284" s="89"/>
      <c r="F284" s="64"/>
      <c r="AP284" s="65"/>
    </row>
    <row r="285" spans="1:42" s="17" customFormat="1" ht="13">
      <c r="A285" s="434"/>
      <c r="B285" s="60"/>
      <c r="C285" s="74"/>
      <c r="D285" s="514"/>
      <c r="E285" s="89"/>
      <c r="F285" s="64"/>
      <c r="AP285" s="65"/>
    </row>
    <row r="286" spans="1:42" s="17" customFormat="1" ht="13">
      <c r="A286" s="434"/>
      <c r="B286" s="60"/>
      <c r="C286" s="74"/>
      <c r="D286" s="514"/>
      <c r="E286" s="89"/>
      <c r="F286" s="64"/>
      <c r="AP286" s="65"/>
    </row>
    <row r="287" spans="1:42" s="17" customFormat="1" ht="13">
      <c r="A287" s="434"/>
      <c r="B287" s="60"/>
      <c r="C287" s="74"/>
      <c r="D287" s="514"/>
      <c r="E287" s="89"/>
      <c r="F287" s="64"/>
      <c r="AP287" s="65"/>
    </row>
    <row r="288" spans="1:42" s="17" customFormat="1" ht="13">
      <c r="A288" s="434"/>
      <c r="B288" s="60"/>
      <c r="C288" s="74"/>
      <c r="D288" s="514"/>
      <c r="E288" s="89"/>
      <c r="F288" s="64"/>
      <c r="AP288" s="65"/>
    </row>
    <row r="289" spans="1:42" s="17" customFormat="1" ht="13">
      <c r="A289" s="434"/>
      <c r="B289" s="60"/>
      <c r="C289" s="74"/>
      <c r="D289" s="514"/>
      <c r="E289" s="89"/>
      <c r="F289" s="64"/>
      <c r="I289" s="69"/>
      <c r="AP289" s="65"/>
    </row>
    <row r="290" spans="1:42" s="17" customFormat="1" ht="13">
      <c r="A290" s="434"/>
      <c r="B290" s="60"/>
      <c r="C290" s="74"/>
      <c r="D290" s="514"/>
      <c r="E290" s="89"/>
      <c r="F290" s="64"/>
      <c r="I290" s="69"/>
      <c r="AP290" s="65"/>
    </row>
    <row r="291" spans="1:42" s="17" customFormat="1" ht="13">
      <c r="A291" s="434"/>
      <c r="B291" s="60"/>
      <c r="C291" s="74"/>
      <c r="D291" s="514"/>
      <c r="E291" s="89"/>
      <c r="F291" s="64"/>
      <c r="I291" s="69"/>
      <c r="AP291" s="65"/>
    </row>
    <row r="292" spans="1:42" s="17" customFormat="1" ht="13">
      <c r="A292" s="434"/>
      <c r="B292" s="60"/>
      <c r="C292" s="74"/>
      <c r="D292" s="514"/>
      <c r="E292" s="89"/>
      <c r="F292" s="64"/>
      <c r="I292" s="69"/>
      <c r="AP292" s="65"/>
    </row>
    <row r="293" spans="1:42" s="17" customFormat="1" ht="13">
      <c r="A293" s="434"/>
      <c r="B293" s="60"/>
      <c r="C293" s="74"/>
      <c r="D293" s="514"/>
      <c r="E293" s="89"/>
      <c r="F293" s="64"/>
      <c r="I293" s="69"/>
      <c r="AP293" s="65"/>
    </row>
    <row r="294" spans="1:42" s="17" customFormat="1" ht="13">
      <c r="A294" s="434"/>
      <c r="B294" s="60"/>
      <c r="C294" s="74"/>
      <c r="D294" s="514"/>
      <c r="E294" s="89"/>
      <c r="F294" s="64"/>
      <c r="AP294" s="65"/>
    </row>
    <row r="295" spans="1:42" s="17" customFormat="1" ht="13">
      <c r="A295" s="437"/>
      <c r="B295" s="60"/>
      <c r="C295" s="74"/>
      <c r="D295" s="514"/>
      <c r="E295" s="89"/>
      <c r="F295" s="78"/>
      <c r="AP295" s="65"/>
    </row>
    <row r="296" spans="1:42" s="17" customFormat="1" ht="12.5">
      <c r="A296" s="437"/>
      <c r="B296" s="61"/>
      <c r="C296" s="63"/>
      <c r="D296" s="515"/>
      <c r="E296" s="89"/>
      <c r="F296" s="78"/>
      <c r="AP296" s="65"/>
    </row>
    <row r="297" spans="1:42" s="17" customFormat="1" ht="12.5">
      <c r="A297" s="437"/>
      <c r="B297" s="61"/>
      <c r="C297" s="63"/>
      <c r="D297" s="515"/>
      <c r="E297" s="89"/>
      <c r="F297" s="78"/>
      <c r="AP297" s="65"/>
    </row>
    <row r="298" spans="1:42" s="17" customFormat="1" ht="12.5">
      <c r="A298" s="437"/>
      <c r="B298" s="61"/>
      <c r="C298" s="63"/>
      <c r="D298" s="515"/>
      <c r="E298" s="89"/>
      <c r="F298" s="78"/>
      <c r="AP298" s="65"/>
    </row>
    <row r="299" spans="1:42" s="17" customFormat="1" ht="12.5">
      <c r="A299" s="437"/>
      <c r="B299" s="61"/>
      <c r="C299" s="63"/>
      <c r="D299" s="515"/>
      <c r="E299" s="89"/>
      <c r="F299" s="78"/>
      <c r="AP299" s="65"/>
    </row>
    <row r="300" spans="1:42" s="17" customFormat="1" ht="12.5">
      <c r="A300" s="437"/>
      <c r="B300" s="61"/>
      <c r="C300" s="63"/>
      <c r="D300" s="515"/>
      <c r="E300" s="89"/>
      <c r="F300" s="78"/>
      <c r="AP300" s="65"/>
    </row>
    <row r="301" spans="1:42" s="17" customFormat="1" ht="13">
      <c r="A301" s="437"/>
      <c r="B301" s="62"/>
      <c r="C301" s="63"/>
      <c r="D301" s="515"/>
      <c r="E301" s="89"/>
      <c r="F301" s="78"/>
      <c r="AP301" s="65"/>
    </row>
    <row r="302" spans="1:42" s="17" customFormat="1" ht="13">
      <c r="A302" s="437"/>
      <c r="B302" s="62"/>
      <c r="C302" s="63"/>
      <c r="D302" s="515"/>
      <c r="E302" s="89"/>
      <c r="F302" s="78"/>
      <c r="AP302" s="65"/>
    </row>
    <row r="303" spans="1:42" s="17" customFormat="1" ht="13">
      <c r="A303" s="437"/>
      <c r="B303" s="62"/>
      <c r="C303" s="63"/>
      <c r="D303" s="515"/>
      <c r="E303" s="89"/>
      <c r="F303" s="78"/>
      <c r="AP303" s="65"/>
    </row>
    <row r="304" spans="1:42" s="17" customFormat="1" ht="13">
      <c r="A304" s="437"/>
      <c r="B304" s="62"/>
      <c r="C304" s="63"/>
      <c r="D304" s="515"/>
      <c r="E304" s="89"/>
      <c r="F304" s="78"/>
      <c r="AP304" s="65"/>
    </row>
    <row r="305" spans="1:42" s="17" customFormat="1" ht="13">
      <c r="A305" s="437"/>
      <c r="B305" s="62"/>
      <c r="C305" s="63"/>
      <c r="D305" s="515"/>
      <c r="E305" s="89"/>
      <c r="F305" s="78"/>
      <c r="AP305" s="65"/>
    </row>
    <row r="306" spans="1:42" s="17" customFormat="1" ht="13">
      <c r="A306" s="437"/>
      <c r="B306" s="62"/>
      <c r="C306" s="63"/>
      <c r="D306" s="515"/>
      <c r="E306" s="89"/>
      <c r="F306" s="78"/>
      <c r="AP306" s="65"/>
    </row>
    <row r="307" spans="1:42" s="17" customFormat="1" ht="13">
      <c r="A307" s="437"/>
      <c r="B307" s="62"/>
      <c r="C307" s="63"/>
      <c r="D307" s="515"/>
      <c r="E307" s="89"/>
      <c r="F307" s="78"/>
      <c r="AP307" s="65"/>
    </row>
    <row r="308" spans="1:42" s="17" customFormat="1" ht="13">
      <c r="A308" s="437"/>
      <c r="B308" s="62"/>
      <c r="C308" s="63"/>
      <c r="D308" s="515"/>
      <c r="E308" s="89"/>
      <c r="F308" s="78"/>
      <c r="AP308" s="65"/>
    </row>
    <row r="309" spans="1:42" s="17" customFormat="1" ht="13">
      <c r="A309" s="437"/>
      <c r="B309" s="62"/>
      <c r="C309" s="63"/>
      <c r="D309" s="515"/>
      <c r="E309" s="89"/>
      <c r="F309" s="78"/>
      <c r="AP309" s="65"/>
    </row>
    <row r="310" spans="1:42" s="17" customFormat="1" ht="13">
      <c r="A310" s="437"/>
      <c r="B310" s="62"/>
      <c r="C310" s="63"/>
      <c r="D310" s="515"/>
      <c r="E310" s="89"/>
      <c r="F310" s="78"/>
      <c r="AP310" s="65"/>
    </row>
    <row r="311" spans="1:42" s="17" customFormat="1" ht="13">
      <c r="A311" s="437"/>
      <c r="B311" s="62"/>
      <c r="C311" s="63"/>
      <c r="D311" s="515"/>
      <c r="E311" s="89"/>
      <c r="F311" s="78"/>
      <c r="AP311" s="65"/>
    </row>
    <row r="312" spans="1:42" s="17" customFormat="1" ht="13">
      <c r="A312" s="437"/>
      <c r="B312" s="62"/>
      <c r="C312" s="63"/>
      <c r="D312" s="515"/>
      <c r="E312" s="89"/>
      <c r="F312" s="78"/>
      <c r="AP312" s="65"/>
    </row>
    <row r="313" spans="1:42" s="17" customFormat="1" ht="13">
      <c r="A313" s="437"/>
      <c r="B313" s="62"/>
      <c r="C313" s="63"/>
      <c r="D313" s="515"/>
      <c r="E313" s="89"/>
      <c r="F313" s="78"/>
      <c r="AP313" s="65"/>
    </row>
    <row r="314" spans="1:42" s="17" customFormat="1" ht="13">
      <c r="A314" s="437"/>
      <c r="B314" s="62"/>
      <c r="C314" s="63"/>
      <c r="D314" s="515"/>
      <c r="E314" s="89"/>
      <c r="F314" s="78"/>
      <c r="AP314" s="65"/>
    </row>
    <row r="315" spans="1:42" s="17" customFormat="1" ht="13">
      <c r="A315" s="437"/>
      <c r="B315" s="62"/>
      <c r="C315" s="63"/>
      <c r="D315" s="515"/>
      <c r="E315" s="89"/>
      <c r="F315" s="78"/>
      <c r="AP315" s="65"/>
    </row>
    <row r="316" spans="1:42" s="17" customFormat="1" ht="13">
      <c r="A316" s="437"/>
      <c r="B316" s="62"/>
      <c r="C316" s="63"/>
      <c r="D316" s="515"/>
      <c r="E316" s="89"/>
      <c r="F316" s="78"/>
      <c r="AP316" s="65"/>
    </row>
    <row r="317" spans="1:42" s="17" customFormat="1" ht="13">
      <c r="A317" s="437"/>
      <c r="B317" s="62"/>
      <c r="C317" s="63"/>
      <c r="D317" s="515"/>
      <c r="E317" s="89"/>
      <c r="F317" s="78"/>
      <c r="AP317" s="65"/>
    </row>
    <row r="318" spans="1:42" s="17" customFormat="1" ht="13">
      <c r="A318" s="437"/>
      <c r="B318" s="62"/>
      <c r="C318" s="63"/>
      <c r="D318" s="515"/>
      <c r="E318" s="89"/>
      <c r="F318" s="78"/>
      <c r="AP318" s="65"/>
    </row>
    <row r="319" spans="1:42" s="17" customFormat="1" ht="13">
      <c r="A319" s="437"/>
      <c r="B319" s="62"/>
      <c r="C319" s="63"/>
      <c r="D319" s="515"/>
      <c r="E319" s="89"/>
      <c r="F319" s="78"/>
      <c r="AP319" s="65"/>
    </row>
    <row r="320" spans="1:42" s="17" customFormat="1" ht="13" thickBot="1">
      <c r="A320" s="437"/>
      <c r="B320" s="59"/>
      <c r="C320" s="454"/>
      <c r="D320" s="455"/>
      <c r="E320" s="89"/>
      <c r="F320" s="78"/>
      <c r="AP320" s="65"/>
    </row>
    <row r="321" spans="1:42" s="17" customFormat="1" ht="13" thickTop="1">
      <c r="A321" s="516"/>
      <c r="B321" s="465"/>
      <c r="C321" s="466"/>
      <c r="D321" s="467"/>
      <c r="E321" s="468"/>
      <c r="F321" s="517"/>
      <c r="AP321" s="65"/>
    </row>
    <row r="322" spans="1:42" s="17" customFormat="1" ht="12.75" customHeight="1">
      <c r="A322" s="518"/>
      <c r="B322" s="469" t="s">
        <v>928</v>
      </c>
      <c r="C322" s="469"/>
      <c r="D322" s="469"/>
      <c r="E322" s="470"/>
      <c r="F322" s="527">
        <f>SUM(F264:F320)</f>
        <v>14267794</v>
      </c>
      <c r="AP322" s="65"/>
    </row>
    <row r="323" spans="1:42" s="17" customFormat="1" ht="13" thickBot="1">
      <c r="A323" s="519"/>
      <c r="B323" s="520"/>
      <c r="C323" s="521"/>
      <c r="D323" s="522"/>
      <c r="E323" s="523"/>
      <c r="F323" s="524"/>
      <c r="G323" s="400"/>
      <c r="H323" s="400"/>
      <c r="I323" s="400"/>
      <c r="J323" s="400"/>
      <c r="K323" s="400"/>
      <c r="L323" s="400"/>
      <c r="M323" s="400"/>
      <c r="N323" s="400"/>
      <c r="O323" s="400"/>
      <c r="P323" s="400"/>
      <c r="Q323" s="400"/>
      <c r="R323" s="400"/>
      <c r="S323" s="400"/>
      <c r="T323" s="400"/>
      <c r="U323" s="400"/>
      <c r="V323" s="400"/>
      <c r="W323" s="400"/>
      <c r="X323" s="400"/>
      <c r="Y323" s="400"/>
      <c r="Z323" s="400"/>
      <c r="AA323" s="400"/>
      <c r="AB323" s="400"/>
      <c r="AC323" s="400"/>
      <c r="AD323" s="400"/>
      <c r="AE323" s="400"/>
      <c r="AF323" s="400"/>
      <c r="AG323" s="400"/>
      <c r="AH323" s="400"/>
      <c r="AI323" s="400"/>
      <c r="AJ323" s="400"/>
      <c r="AK323" s="400"/>
      <c r="AL323" s="400"/>
      <c r="AM323" s="400"/>
      <c r="AN323" s="400"/>
      <c r="AO323" s="400"/>
      <c r="AP323" s="427"/>
    </row>
    <row r="324" spans="1:42" ht="14.5" thickTop="1"/>
  </sheetData>
  <protectedRanges>
    <protectedRange sqref="E262:F313 E219:F256 E314:F323" name="Range1"/>
  </protectedRanges>
  <mergeCells count="14">
    <mergeCell ref="A261:F261"/>
    <mergeCell ref="B263:E263"/>
    <mergeCell ref="B266:E266"/>
    <mergeCell ref="B272:E272"/>
    <mergeCell ref="A2:F2"/>
    <mergeCell ref="A152:E152"/>
    <mergeCell ref="A155:F155"/>
    <mergeCell ref="A201:E201"/>
    <mergeCell ref="A204:F204"/>
    <mergeCell ref="A258:E258"/>
    <mergeCell ref="A47:E47"/>
    <mergeCell ref="A50:F50"/>
    <mergeCell ref="A105:E105"/>
    <mergeCell ref="A108:F108"/>
  </mergeCells>
  <printOptions horizontalCentered="1" verticalCentered="1"/>
  <pageMargins left="0.75" right="0.5" top="0.75" bottom="0.75" header="0.5" footer="0.5"/>
  <pageSetup paperSize="9" scale="90" firstPageNumber="12" orientation="portrait" useFirstPageNumber="1" r:id="rId1"/>
  <headerFooter>
    <oddHeader>&amp;LKenya Town Sustainable Water and Sanitation Program (KTSWSSP)&amp;RMachakos Water Supply Project</oddHeader>
    <oddFooter>&amp;LRaw Water&amp;R&amp;P</oddFooter>
  </headerFooter>
  <rowBreaks count="1" manualBreakCount="1">
    <brk id="259"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4"/>
  <sheetViews>
    <sheetView view="pageBreakPreview" topLeftCell="A715" zoomScaleNormal="100" zoomScaleSheetLayoutView="100" workbookViewId="0">
      <selection activeCell="B11" sqref="B11"/>
    </sheetView>
  </sheetViews>
  <sheetFormatPr defaultColWidth="9.6328125" defaultRowHeight="15.5"/>
  <cols>
    <col min="1" max="1" width="7.6328125" style="944" customWidth="1"/>
    <col min="2" max="2" width="53.6328125" style="1092" customWidth="1"/>
    <col min="3" max="3" width="5.453125" style="1093" customWidth="1"/>
    <col min="4" max="4" width="10.08984375" style="1094" bestFit="1" customWidth="1"/>
    <col min="5" max="5" width="12.36328125" style="1095" customWidth="1"/>
    <col min="6" max="6" width="17.08984375" style="1096" customWidth="1"/>
    <col min="7" max="7" width="3.90625" style="996" hidden="1" customWidth="1"/>
    <col min="8" max="8" width="8" style="944" customWidth="1"/>
    <col min="9" max="9" width="13.6328125" style="944" customWidth="1"/>
    <col min="10" max="10" width="11.6328125" style="944" customWidth="1"/>
    <col min="11" max="255" width="8" style="944" customWidth="1"/>
    <col min="256" max="256" width="9.6328125" style="944"/>
    <col min="257" max="257" width="9.6328125" style="944" customWidth="1"/>
    <col min="258" max="258" width="47.36328125" style="944" customWidth="1"/>
    <col min="259" max="259" width="5.453125" style="944" customWidth="1"/>
    <col min="260" max="260" width="10.08984375" style="944" bestFit="1" customWidth="1"/>
    <col min="261" max="261" width="10.08984375" style="944" customWidth="1"/>
    <col min="262" max="262" width="11.6328125" style="944" customWidth="1"/>
    <col min="263" max="263" width="0" style="944" hidden="1" customWidth="1"/>
    <col min="264" max="264" width="8" style="944" customWidth="1"/>
    <col min="265" max="265" width="13.6328125" style="944" customWidth="1"/>
    <col min="266" max="266" width="11.6328125" style="944" customWidth="1"/>
    <col min="267" max="511" width="8" style="944" customWidth="1"/>
    <col min="512" max="512" width="9.6328125" style="944"/>
    <col min="513" max="513" width="9.6328125" style="944" customWidth="1"/>
    <col min="514" max="514" width="47.36328125" style="944" customWidth="1"/>
    <col min="515" max="515" width="5.453125" style="944" customWidth="1"/>
    <col min="516" max="516" width="10.08984375" style="944" bestFit="1" customWidth="1"/>
    <col min="517" max="517" width="10.08984375" style="944" customWidth="1"/>
    <col min="518" max="518" width="11.6328125" style="944" customWidth="1"/>
    <col min="519" max="519" width="0" style="944" hidden="1" customWidth="1"/>
    <col min="520" max="520" width="8" style="944" customWidth="1"/>
    <col min="521" max="521" width="13.6328125" style="944" customWidth="1"/>
    <col min="522" max="522" width="11.6328125" style="944" customWidth="1"/>
    <col min="523" max="767" width="8" style="944" customWidth="1"/>
    <col min="768" max="768" width="9.6328125" style="944"/>
    <col min="769" max="769" width="9.6328125" style="944" customWidth="1"/>
    <col min="770" max="770" width="47.36328125" style="944" customWidth="1"/>
    <col min="771" max="771" width="5.453125" style="944" customWidth="1"/>
    <col min="772" max="772" width="10.08984375" style="944" bestFit="1" customWidth="1"/>
    <col min="773" max="773" width="10.08984375" style="944" customWidth="1"/>
    <col min="774" max="774" width="11.6328125" style="944" customWidth="1"/>
    <col min="775" max="775" width="0" style="944" hidden="1" customWidth="1"/>
    <col min="776" max="776" width="8" style="944" customWidth="1"/>
    <col min="777" max="777" width="13.6328125" style="944" customWidth="1"/>
    <col min="778" max="778" width="11.6328125" style="944" customWidth="1"/>
    <col min="779" max="1023" width="8" style="944" customWidth="1"/>
    <col min="1024" max="1024" width="9.6328125" style="944"/>
    <col min="1025" max="1025" width="9.6328125" style="944" customWidth="1"/>
    <col min="1026" max="1026" width="47.36328125" style="944" customWidth="1"/>
    <col min="1027" max="1027" width="5.453125" style="944" customWidth="1"/>
    <col min="1028" max="1028" width="10.08984375" style="944" bestFit="1" customWidth="1"/>
    <col min="1029" max="1029" width="10.08984375" style="944" customWidth="1"/>
    <col min="1030" max="1030" width="11.6328125" style="944" customWidth="1"/>
    <col min="1031" max="1031" width="0" style="944" hidden="1" customWidth="1"/>
    <col min="1032" max="1032" width="8" style="944" customWidth="1"/>
    <col min="1033" max="1033" width="13.6328125" style="944" customWidth="1"/>
    <col min="1034" max="1034" width="11.6328125" style="944" customWidth="1"/>
    <col min="1035" max="1279" width="8" style="944" customWidth="1"/>
    <col min="1280" max="1280" width="9.6328125" style="944"/>
    <col min="1281" max="1281" width="9.6328125" style="944" customWidth="1"/>
    <col min="1282" max="1282" width="47.36328125" style="944" customWidth="1"/>
    <col min="1283" max="1283" width="5.453125" style="944" customWidth="1"/>
    <col min="1284" max="1284" width="10.08984375" style="944" bestFit="1" customWidth="1"/>
    <col min="1285" max="1285" width="10.08984375" style="944" customWidth="1"/>
    <col min="1286" max="1286" width="11.6328125" style="944" customWidth="1"/>
    <col min="1287" max="1287" width="0" style="944" hidden="1" customWidth="1"/>
    <col min="1288" max="1288" width="8" style="944" customWidth="1"/>
    <col min="1289" max="1289" width="13.6328125" style="944" customWidth="1"/>
    <col min="1290" max="1290" width="11.6328125" style="944" customWidth="1"/>
    <col min="1291" max="1535" width="8" style="944" customWidth="1"/>
    <col min="1536" max="1536" width="9.6328125" style="944"/>
    <col min="1537" max="1537" width="9.6328125" style="944" customWidth="1"/>
    <col min="1538" max="1538" width="47.36328125" style="944" customWidth="1"/>
    <col min="1539" max="1539" width="5.453125" style="944" customWidth="1"/>
    <col min="1540" max="1540" width="10.08984375" style="944" bestFit="1" customWidth="1"/>
    <col min="1541" max="1541" width="10.08984375" style="944" customWidth="1"/>
    <col min="1542" max="1542" width="11.6328125" style="944" customWidth="1"/>
    <col min="1543" max="1543" width="0" style="944" hidden="1" customWidth="1"/>
    <col min="1544" max="1544" width="8" style="944" customWidth="1"/>
    <col min="1545" max="1545" width="13.6328125" style="944" customWidth="1"/>
    <col min="1546" max="1546" width="11.6328125" style="944" customWidth="1"/>
    <col min="1547" max="1791" width="8" style="944" customWidth="1"/>
    <col min="1792" max="1792" width="9.6328125" style="944"/>
    <col min="1793" max="1793" width="9.6328125" style="944" customWidth="1"/>
    <col min="1794" max="1794" width="47.36328125" style="944" customWidth="1"/>
    <col min="1795" max="1795" width="5.453125" style="944" customWidth="1"/>
    <col min="1796" max="1796" width="10.08984375" style="944" bestFit="1" customWidth="1"/>
    <col min="1797" max="1797" width="10.08984375" style="944" customWidth="1"/>
    <col min="1798" max="1798" width="11.6328125" style="944" customWidth="1"/>
    <col min="1799" max="1799" width="0" style="944" hidden="1" customWidth="1"/>
    <col min="1800" max="1800" width="8" style="944" customWidth="1"/>
    <col min="1801" max="1801" width="13.6328125" style="944" customWidth="1"/>
    <col min="1802" max="1802" width="11.6328125" style="944" customWidth="1"/>
    <col min="1803" max="2047" width="8" style="944" customWidth="1"/>
    <col min="2048" max="2048" width="9.6328125" style="944"/>
    <col min="2049" max="2049" width="9.6328125" style="944" customWidth="1"/>
    <col min="2050" max="2050" width="47.36328125" style="944" customWidth="1"/>
    <col min="2051" max="2051" width="5.453125" style="944" customWidth="1"/>
    <col min="2052" max="2052" width="10.08984375" style="944" bestFit="1" customWidth="1"/>
    <col min="2053" max="2053" width="10.08984375" style="944" customWidth="1"/>
    <col min="2054" max="2054" width="11.6328125" style="944" customWidth="1"/>
    <col min="2055" max="2055" width="0" style="944" hidden="1" customWidth="1"/>
    <col min="2056" max="2056" width="8" style="944" customWidth="1"/>
    <col min="2057" max="2057" width="13.6328125" style="944" customWidth="1"/>
    <col min="2058" max="2058" width="11.6328125" style="944" customWidth="1"/>
    <col min="2059" max="2303" width="8" style="944" customWidth="1"/>
    <col min="2304" max="2304" width="9.6328125" style="944"/>
    <col min="2305" max="2305" width="9.6328125" style="944" customWidth="1"/>
    <col min="2306" max="2306" width="47.36328125" style="944" customWidth="1"/>
    <col min="2307" max="2307" width="5.453125" style="944" customWidth="1"/>
    <col min="2308" max="2308" width="10.08984375" style="944" bestFit="1" customWidth="1"/>
    <col min="2309" max="2309" width="10.08984375" style="944" customWidth="1"/>
    <col min="2310" max="2310" width="11.6328125" style="944" customWidth="1"/>
    <col min="2311" max="2311" width="0" style="944" hidden="1" customWidth="1"/>
    <col min="2312" max="2312" width="8" style="944" customWidth="1"/>
    <col min="2313" max="2313" width="13.6328125" style="944" customWidth="1"/>
    <col min="2314" max="2314" width="11.6328125" style="944" customWidth="1"/>
    <col min="2315" max="2559" width="8" style="944" customWidth="1"/>
    <col min="2560" max="2560" width="9.6328125" style="944"/>
    <col min="2561" max="2561" width="9.6328125" style="944" customWidth="1"/>
    <col min="2562" max="2562" width="47.36328125" style="944" customWidth="1"/>
    <col min="2563" max="2563" width="5.453125" style="944" customWidth="1"/>
    <col min="2564" max="2564" width="10.08984375" style="944" bestFit="1" customWidth="1"/>
    <col min="2565" max="2565" width="10.08984375" style="944" customWidth="1"/>
    <col min="2566" max="2566" width="11.6328125" style="944" customWidth="1"/>
    <col min="2567" max="2567" width="0" style="944" hidden="1" customWidth="1"/>
    <col min="2568" max="2568" width="8" style="944" customWidth="1"/>
    <col min="2569" max="2569" width="13.6328125" style="944" customWidth="1"/>
    <col min="2570" max="2570" width="11.6328125" style="944" customWidth="1"/>
    <col min="2571" max="2815" width="8" style="944" customWidth="1"/>
    <col min="2816" max="2816" width="9.6328125" style="944"/>
    <col min="2817" max="2817" width="9.6328125" style="944" customWidth="1"/>
    <col min="2818" max="2818" width="47.36328125" style="944" customWidth="1"/>
    <col min="2819" max="2819" width="5.453125" style="944" customWidth="1"/>
    <col min="2820" max="2820" width="10.08984375" style="944" bestFit="1" customWidth="1"/>
    <col min="2821" max="2821" width="10.08984375" style="944" customWidth="1"/>
    <col min="2822" max="2822" width="11.6328125" style="944" customWidth="1"/>
    <col min="2823" max="2823" width="0" style="944" hidden="1" customWidth="1"/>
    <col min="2824" max="2824" width="8" style="944" customWidth="1"/>
    <col min="2825" max="2825" width="13.6328125" style="944" customWidth="1"/>
    <col min="2826" max="2826" width="11.6328125" style="944" customWidth="1"/>
    <col min="2827" max="3071" width="8" style="944" customWidth="1"/>
    <col min="3072" max="3072" width="9.6328125" style="944"/>
    <col min="3073" max="3073" width="9.6328125" style="944" customWidth="1"/>
    <col min="3074" max="3074" width="47.36328125" style="944" customWidth="1"/>
    <col min="3075" max="3075" width="5.453125" style="944" customWidth="1"/>
    <col min="3076" max="3076" width="10.08984375" style="944" bestFit="1" customWidth="1"/>
    <col min="3077" max="3077" width="10.08984375" style="944" customWidth="1"/>
    <col min="3078" max="3078" width="11.6328125" style="944" customWidth="1"/>
    <col min="3079" max="3079" width="0" style="944" hidden="1" customWidth="1"/>
    <col min="3080" max="3080" width="8" style="944" customWidth="1"/>
    <col min="3081" max="3081" width="13.6328125" style="944" customWidth="1"/>
    <col min="3082" max="3082" width="11.6328125" style="944" customWidth="1"/>
    <col min="3083" max="3327" width="8" style="944" customWidth="1"/>
    <col min="3328" max="3328" width="9.6328125" style="944"/>
    <col min="3329" max="3329" width="9.6328125" style="944" customWidth="1"/>
    <col min="3330" max="3330" width="47.36328125" style="944" customWidth="1"/>
    <col min="3331" max="3331" width="5.453125" style="944" customWidth="1"/>
    <col min="3332" max="3332" width="10.08984375" style="944" bestFit="1" customWidth="1"/>
    <col min="3333" max="3333" width="10.08984375" style="944" customWidth="1"/>
    <col min="3334" max="3334" width="11.6328125" style="944" customWidth="1"/>
    <col min="3335" max="3335" width="0" style="944" hidden="1" customWidth="1"/>
    <col min="3336" max="3336" width="8" style="944" customWidth="1"/>
    <col min="3337" max="3337" width="13.6328125" style="944" customWidth="1"/>
    <col min="3338" max="3338" width="11.6328125" style="944" customWidth="1"/>
    <col min="3339" max="3583" width="8" style="944" customWidth="1"/>
    <col min="3584" max="3584" width="9.6328125" style="944"/>
    <col min="3585" max="3585" width="9.6328125" style="944" customWidth="1"/>
    <col min="3586" max="3586" width="47.36328125" style="944" customWidth="1"/>
    <col min="3587" max="3587" width="5.453125" style="944" customWidth="1"/>
    <col min="3588" max="3588" width="10.08984375" style="944" bestFit="1" customWidth="1"/>
    <col min="3589" max="3589" width="10.08984375" style="944" customWidth="1"/>
    <col min="3590" max="3590" width="11.6328125" style="944" customWidth="1"/>
    <col min="3591" max="3591" width="0" style="944" hidden="1" customWidth="1"/>
    <col min="3592" max="3592" width="8" style="944" customWidth="1"/>
    <col min="3593" max="3593" width="13.6328125" style="944" customWidth="1"/>
    <col min="3594" max="3594" width="11.6328125" style="944" customWidth="1"/>
    <col min="3595" max="3839" width="8" style="944" customWidth="1"/>
    <col min="3840" max="3840" width="9.6328125" style="944"/>
    <col min="3841" max="3841" width="9.6328125" style="944" customWidth="1"/>
    <col min="3842" max="3842" width="47.36328125" style="944" customWidth="1"/>
    <col min="3843" max="3843" width="5.453125" style="944" customWidth="1"/>
    <col min="3844" max="3844" width="10.08984375" style="944" bestFit="1" customWidth="1"/>
    <col min="3845" max="3845" width="10.08984375" style="944" customWidth="1"/>
    <col min="3846" max="3846" width="11.6328125" style="944" customWidth="1"/>
    <col min="3847" max="3847" width="0" style="944" hidden="1" customWidth="1"/>
    <col min="3848" max="3848" width="8" style="944" customWidth="1"/>
    <col min="3849" max="3849" width="13.6328125" style="944" customWidth="1"/>
    <col min="3850" max="3850" width="11.6328125" style="944" customWidth="1"/>
    <col min="3851" max="4095" width="8" style="944" customWidth="1"/>
    <col min="4096" max="4096" width="9.6328125" style="944"/>
    <col min="4097" max="4097" width="9.6328125" style="944" customWidth="1"/>
    <col min="4098" max="4098" width="47.36328125" style="944" customWidth="1"/>
    <col min="4099" max="4099" width="5.453125" style="944" customWidth="1"/>
    <col min="4100" max="4100" width="10.08984375" style="944" bestFit="1" customWidth="1"/>
    <col min="4101" max="4101" width="10.08984375" style="944" customWidth="1"/>
    <col min="4102" max="4102" width="11.6328125" style="944" customWidth="1"/>
    <col min="4103" max="4103" width="0" style="944" hidden="1" customWidth="1"/>
    <col min="4104" max="4104" width="8" style="944" customWidth="1"/>
    <col min="4105" max="4105" width="13.6328125" style="944" customWidth="1"/>
    <col min="4106" max="4106" width="11.6328125" style="944" customWidth="1"/>
    <col min="4107" max="4351" width="8" style="944" customWidth="1"/>
    <col min="4352" max="4352" width="9.6328125" style="944"/>
    <col min="4353" max="4353" width="9.6328125" style="944" customWidth="1"/>
    <col min="4354" max="4354" width="47.36328125" style="944" customWidth="1"/>
    <col min="4355" max="4355" width="5.453125" style="944" customWidth="1"/>
    <col min="4356" max="4356" width="10.08984375" style="944" bestFit="1" customWidth="1"/>
    <col min="4357" max="4357" width="10.08984375" style="944" customWidth="1"/>
    <col min="4358" max="4358" width="11.6328125" style="944" customWidth="1"/>
    <col min="4359" max="4359" width="0" style="944" hidden="1" customWidth="1"/>
    <col min="4360" max="4360" width="8" style="944" customWidth="1"/>
    <col min="4361" max="4361" width="13.6328125" style="944" customWidth="1"/>
    <col min="4362" max="4362" width="11.6328125" style="944" customWidth="1"/>
    <col min="4363" max="4607" width="8" style="944" customWidth="1"/>
    <col min="4608" max="4608" width="9.6328125" style="944"/>
    <col min="4609" max="4609" width="9.6328125" style="944" customWidth="1"/>
    <col min="4610" max="4610" width="47.36328125" style="944" customWidth="1"/>
    <col min="4611" max="4611" width="5.453125" style="944" customWidth="1"/>
    <col min="4612" max="4612" width="10.08984375" style="944" bestFit="1" customWidth="1"/>
    <col min="4613" max="4613" width="10.08984375" style="944" customWidth="1"/>
    <col min="4614" max="4614" width="11.6328125" style="944" customWidth="1"/>
    <col min="4615" max="4615" width="0" style="944" hidden="1" customWidth="1"/>
    <col min="4616" max="4616" width="8" style="944" customWidth="1"/>
    <col min="4617" max="4617" width="13.6328125" style="944" customWidth="1"/>
    <col min="4618" max="4618" width="11.6328125" style="944" customWidth="1"/>
    <col min="4619" max="4863" width="8" style="944" customWidth="1"/>
    <col min="4864" max="4864" width="9.6328125" style="944"/>
    <col min="4865" max="4865" width="9.6328125" style="944" customWidth="1"/>
    <col min="4866" max="4866" width="47.36328125" style="944" customWidth="1"/>
    <col min="4867" max="4867" width="5.453125" style="944" customWidth="1"/>
    <col min="4868" max="4868" width="10.08984375" style="944" bestFit="1" customWidth="1"/>
    <col min="4869" max="4869" width="10.08984375" style="944" customWidth="1"/>
    <col min="4870" max="4870" width="11.6328125" style="944" customWidth="1"/>
    <col min="4871" max="4871" width="0" style="944" hidden="1" customWidth="1"/>
    <col min="4872" max="4872" width="8" style="944" customWidth="1"/>
    <col min="4873" max="4873" width="13.6328125" style="944" customWidth="1"/>
    <col min="4874" max="4874" width="11.6328125" style="944" customWidth="1"/>
    <col min="4875" max="5119" width="8" style="944" customWidth="1"/>
    <col min="5120" max="5120" width="9.6328125" style="944"/>
    <col min="5121" max="5121" width="9.6328125" style="944" customWidth="1"/>
    <col min="5122" max="5122" width="47.36328125" style="944" customWidth="1"/>
    <col min="5123" max="5123" width="5.453125" style="944" customWidth="1"/>
    <col min="5124" max="5124" width="10.08984375" style="944" bestFit="1" customWidth="1"/>
    <col min="5125" max="5125" width="10.08984375" style="944" customWidth="1"/>
    <col min="5126" max="5126" width="11.6328125" style="944" customWidth="1"/>
    <col min="5127" max="5127" width="0" style="944" hidden="1" customWidth="1"/>
    <col min="5128" max="5128" width="8" style="944" customWidth="1"/>
    <col min="5129" max="5129" width="13.6328125" style="944" customWidth="1"/>
    <col min="5130" max="5130" width="11.6328125" style="944" customWidth="1"/>
    <col min="5131" max="5375" width="8" style="944" customWidth="1"/>
    <col min="5376" max="5376" width="9.6328125" style="944"/>
    <col min="5377" max="5377" width="9.6328125" style="944" customWidth="1"/>
    <col min="5378" max="5378" width="47.36328125" style="944" customWidth="1"/>
    <col min="5379" max="5379" width="5.453125" style="944" customWidth="1"/>
    <col min="5380" max="5380" width="10.08984375" style="944" bestFit="1" customWidth="1"/>
    <col min="5381" max="5381" width="10.08984375" style="944" customWidth="1"/>
    <col min="5382" max="5382" width="11.6328125" style="944" customWidth="1"/>
    <col min="5383" max="5383" width="0" style="944" hidden="1" customWidth="1"/>
    <col min="5384" max="5384" width="8" style="944" customWidth="1"/>
    <col min="5385" max="5385" width="13.6328125" style="944" customWidth="1"/>
    <col min="5386" max="5386" width="11.6328125" style="944" customWidth="1"/>
    <col min="5387" max="5631" width="8" style="944" customWidth="1"/>
    <col min="5632" max="5632" width="9.6328125" style="944"/>
    <col min="5633" max="5633" width="9.6328125" style="944" customWidth="1"/>
    <col min="5634" max="5634" width="47.36328125" style="944" customWidth="1"/>
    <col min="5635" max="5635" width="5.453125" style="944" customWidth="1"/>
    <col min="5636" max="5636" width="10.08984375" style="944" bestFit="1" customWidth="1"/>
    <col min="5637" max="5637" width="10.08984375" style="944" customWidth="1"/>
    <col min="5638" max="5638" width="11.6328125" style="944" customWidth="1"/>
    <col min="5639" max="5639" width="0" style="944" hidden="1" customWidth="1"/>
    <col min="5640" max="5640" width="8" style="944" customWidth="1"/>
    <col min="5641" max="5641" width="13.6328125" style="944" customWidth="1"/>
    <col min="5642" max="5642" width="11.6328125" style="944" customWidth="1"/>
    <col min="5643" max="5887" width="8" style="944" customWidth="1"/>
    <col min="5888" max="5888" width="9.6328125" style="944"/>
    <col min="5889" max="5889" width="9.6328125" style="944" customWidth="1"/>
    <col min="5890" max="5890" width="47.36328125" style="944" customWidth="1"/>
    <col min="5891" max="5891" width="5.453125" style="944" customWidth="1"/>
    <col min="5892" max="5892" width="10.08984375" style="944" bestFit="1" customWidth="1"/>
    <col min="5893" max="5893" width="10.08984375" style="944" customWidth="1"/>
    <col min="5894" max="5894" width="11.6328125" style="944" customWidth="1"/>
    <col min="5895" max="5895" width="0" style="944" hidden="1" customWidth="1"/>
    <col min="5896" max="5896" width="8" style="944" customWidth="1"/>
    <col min="5897" max="5897" width="13.6328125" style="944" customWidth="1"/>
    <col min="5898" max="5898" width="11.6328125" style="944" customWidth="1"/>
    <col min="5899" max="6143" width="8" style="944" customWidth="1"/>
    <col min="6144" max="6144" width="9.6328125" style="944"/>
    <col min="6145" max="6145" width="9.6328125" style="944" customWidth="1"/>
    <col min="6146" max="6146" width="47.36328125" style="944" customWidth="1"/>
    <col min="6147" max="6147" width="5.453125" style="944" customWidth="1"/>
    <col min="6148" max="6148" width="10.08984375" style="944" bestFit="1" customWidth="1"/>
    <col min="6149" max="6149" width="10.08984375" style="944" customWidth="1"/>
    <col min="6150" max="6150" width="11.6328125" style="944" customWidth="1"/>
    <col min="6151" max="6151" width="0" style="944" hidden="1" customWidth="1"/>
    <col min="6152" max="6152" width="8" style="944" customWidth="1"/>
    <col min="6153" max="6153" width="13.6328125" style="944" customWidth="1"/>
    <col min="6154" max="6154" width="11.6328125" style="944" customWidth="1"/>
    <col min="6155" max="6399" width="8" style="944" customWidth="1"/>
    <col min="6400" max="6400" width="9.6328125" style="944"/>
    <col min="6401" max="6401" width="9.6328125" style="944" customWidth="1"/>
    <col min="6402" max="6402" width="47.36328125" style="944" customWidth="1"/>
    <col min="6403" max="6403" width="5.453125" style="944" customWidth="1"/>
    <col min="6404" max="6404" width="10.08984375" style="944" bestFit="1" customWidth="1"/>
    <col min="6405" max="6405" width="10.08984375" style="944" customWidth="1"/>
    <col min="6406" max="6406" width="11.6328125" style="944" customWidth="1"/>
    <col min="6407" max="6407" width="0" style="944" hidden="1" customWidth="1"/>
    <col min="6408" max="6408" width="8" style="944" customWidth="1"/>
    <col min="6409" max="6409" width="13.6328125" style="944" customWidth="1"/>
    <col min="6410" max="6410" width="11.6328125" style="944" customWidth="1"/>
    <col min="6411" max="6655" width="8" style="944" customWidth="1"/>
    <col min="6656" max="6656" width="9.6328125" style="944"/>
    <col min="6657" max="6657" width="9.6328125" style="944" customWidth="1"/>
    <col min="6658" max="6658" width="47.36328125" style="944" customWidth="1"/>
    <col min="6659" max="6659" width="5.453125" style="944" customWidth="1"/>
    <col min="6660" max="6660" width="10.08984375" style="944" bestFit="1" customWidth="1"/>
    <col min="6661" max="6661" width="10.08984375" style="944" customWidth="1"/>
    <col min="6662" max="6662" width="11.6328125" style="944" customWidth="1"/>
    <col min="6663" max="6663" width="0" style="944" hidden="1" customWidth="1"/>
    <col min="6664" max="6664" width="8" style="944" customWidth="1"/>
    <col min="6665" max="6665" width="13.6328125" style="944" customWidth="1"/>
    <col min="6666" max="6666" width="11.6328125" style="944" customWidth="1"/>
    <col min="6667" max="6911" width="8" style="944" customWidth="1"/>
    <col min="6912" max="6912" width="9.6328125" style="944"/>
    <col min="6913" max="6913" width="9.6328125" style="944" customWidth="1"/>
    <col min="6914" max="6914" width="47.36328125" style="944" customWidth="1"/>
    <col min="6915" max="6915" width="5.453125" style="944" customWidth="1"/>
    <col min="6916" max="6916" width="10.08984375" style="944" bestFit="1" customWidth="1"/>
    <col min="6917" max="6917" width="10.08984375" style="944" customWidth="1"/>
    <col min="6918" max="6918" width="11.6328125" style="944" customWidth="1"/>
    <col min="6919" max="6919" width="0" style="944" hidden="1" customWidth="1"/>
    <col min="6920" max="6920" width="8" style="944" customWidth="1"/>
    <col min="6921" max="6921" width="13.6328125" style="944" customWidth="1"/>
    <col min="6922" max="6922" width="11.6328125" style="944" customWidth="1"/>
    <col min="6923" max="7167" width="8" style="944" customWidth="1"/>
    <col min="7168" max="7168" width="9.6328125" style="944"/>
    <col min="7169" max="7169" width="9.6328125" style="944" customWidth="1"/>
    <col min="7170" max="7170" width="47.36328125" style="944" customWidth="1"/>
    <col min="7171" max="7171" width="5.453125" style="944" customWidth="1"/>
    <col min="7172" max="7172" width="10.08984375" style="944" bestFit="1" customWidth="1"/>
    <col min="7173" max="7173" width="10.08984375" style="944" customWidth="1"/>
    <col min="7174" max="7174" width="11.6328125" style="944" customWidth="1"/>
    <col min="7175" max="7175" width="0" style="944" hidden="1" customWidth="1"/>
    <col min="7176" max="7176" width="8" style="944" customWidth="1"/>
    <col min="7177" max="7177" width="13.6328125" style="944" customWidth="1"/>
    <col min="7178" max="7178" width="11.6328125" style="944" customWidth="1"/>
    <col min="7179" max="7423" width="8" style="944" customWidth="1"/>
    <col min="7424" max="7424" width="9.6328125" style="944"/>
    <col min="7425" max="7425" width="9.6328125" style="944" customWidth="1"/>
    <col min="7426" max="7426" width="47.36328125" style="944" customWidth="1"/>
    <col min="7427" max="7427" width="5.453125" style="944" customWidth="1"/>
    <col min="7428" max="7428" width="10.08984375" style="944" bestFit="1" customWidth="1"/>
    <col min="7429" max="7429" width="10.08984375" style="944" customWidth="1"/>
    <col min="7430" max="7430" width="11.6328125" style="944" customWidth="1"/>
    <col min="7431" max="7431" width="0" style="944" hidden="1" customWidth="1"/>
    <col min="7432" max="7432" width="8" style="944" customWidth="1"/>
    <col min="7433" max="7433" width="13.6328125" style="944" customWidth="1"/>
    <col min="7434" max="7434" width="11.6328125" style="944" customWidth="1"/>
    <col min="7435" max="7679" width="8" style="944" customWidth="1"/>
    <col min="7680" max="7680" width="9.6328125" style="944"/>
    <col min="7681" max="7681" width="9.6328125" style="944" customWidth="1"/>
    <col min="7682" max="7682" width="47.36328125" style="944" customWidth="1"/>
    <col min="7683" max="7683" width="5.453125" style="944" customWidth="1"/>
    <col min="7684" max="7684" width="10.08984375" style="944" bestFit="1" customWidth="1"/>
    <col min="7685" max="7685" width="10.08984375" style="944" customWidth="1"/>
    <col min="7686" max="7686" width="11.6328125" style="944" customWidth="1"/>
    <col min="7687" max="7687" width="0" style="944" hidden="1" customWidth="1"/>
    <col min="7688" max="7688" width="8" style="944" customWidth="1"/>
    <col min="7689" max="7689" width="13.6328125" style="944" customWidth="1"/>
    <col min="7690" max="7690" width="11.6328125" style="944" customWidth="1"/>
    <col min="7691" max="7935" width="8" style="944" customWidth="1"/>
    <col min="7936" max="7936" width="9.6328125" style="944"/>
    <col min="7937" max="7937" width="9.6328125" style="944" customWidth="1"/>
    <col min="7938" max="7938" width="47.36328125" style="944" customWidth="1"/>
    <col min="7939" max="7939" width="5.453125" style="944" customWidth="1"/>
    <col min="7940" max="7940" width="10.08984375" style="944" bestFit="1" customWidth="1"/>
    <col min="7941" max="7941" width="10.08984375" style="944" customWidth="1"/>
    <col min="7942" max="7942" width="11.6328125" style="944" customWidth="1"/>
    <col min="7943" max="7943" width="0" style="944" hidden="1" customWidth="1"/>
    <col min="7944" max="7944" width="8" style="944" customWidth="1"/>
    <col min="7945" max="7945" width="13.6328125" style="944" customWidth="1"/>
    <col min="7946" max="7946" width="11.6328125" style="944" customWidth="1"/>
    <col min="7947" max="8191" width="8" style="944" customWidth="1"/>
    <col min="8192" max="8192" width="9.6328125" style="944"/>
    <col min="8193" max="8193" width="9.6328125" style="944" customWidth="1"/>
    <col min="8194" max="8194" width="47.36328125" style="944" customWidth="1"/>
    <col min="8195" max="8195" width="5.453125" style="944" customWidth="1"/>
    <col min="8196" max="8196" width="10.08984375" style="944" bestFit="1" customWidth="1"/>
    <col min="8197" max="8197" width="10.08984375" style="944" customWidth="1"/>
    <col min="8198" max="8198" width="11.6328125" style="944" customWidth="1"/>
    <col min="8199" max="8199" width="0" style="944" hidden="1" customWidth="1"/>
    <col min="8200" max="8200" width="8" style="944" customWidth="1"/>
    <col min="8201" max="8201" width="13.6328125" style="944" customWidth="1"/>
    <col min="8202" max="8202" width="11.6328125" style="944" customWidth="1"/>
    <col min="8203" max="8447" width="8" style="944" customWidth="1"/>
    <col min="8448" max="8448" width="9.6328125" style="944"/>
    <col min="8449" max="8449" width="9.6328125" style="944" customWidth="1"/>
    <col min="8450" max="8450" width="47.36328125" style="944" customWidth="1"/>
    <col min="8451" max="8451" width="5.453125" style="944" customWidth="1"/>
    <col min="8452" max="8452" width="10.08984375" style="944" bestFit="1" customWidth="1"/>
    <col min="8453" max="8453" width="10.08984375" style="944" customWidth="1"/>
    <col min="8454" max="8454" width="11.6328125" style="944" customWidth="1"/>
    <col min="8455" max="8455" width="0" style="944" hidden="1" customWidth="1"/>
    <col min="8456" max="8456" width="8" style="944" customWidth="1"/>
    <col min="8457" max="8457" width="13.6328125" style="944" customWidth="1"/>
    <col min="8458" max="8458" width="11.6328125" style="944" customWidth="1"/>
    <col min="8459" max="8703" width="8" style="944" customWidth="1"/>
    <col min="8704" max="8704" width="9.6328125" style="944"/>
    <col min="8705" max="8705" width="9.6328125" style="944" customWidth="1"/>
    <col min="8706" max="8706" width="47.36328125" style="944" customWidth="1"/>
    <col min="8707" max="8707" width="5.453125" style="944" customWidth="1"/>
    <col min="8708" max="8708" width="10.08984375" style="944" bestFit="1" customWidth="1"/>
    <col min="8709" max="8709" width="10.08984375" style="944" customWidth="1"/>
    <col min="8710" max="8710" width="11.6328125" style="944" customWidth="1"/>
    <col min="8711" max="8711" width="0" style="944" hidden="1" customWidth="1"/>
    <col min="8712" max="8712" width="8" style="944" customWidth="1"/>
    <col min="8713" max="8713" width="13.6328125" style="944" customWidth="1"/>
    <col min="8714" max="8714" width="11.6328125" style="944" customWidth="1"/>
    <col min="8715" max="8959" width="8" style="944" customWidth="1"/>
    <col min="8960" max="8960" width="9.6328125" style="944"/>
    <col min="8961" max="8961" width="9.6328125" style="944" customWidth="1"/>
    <col min="8962" max="8962" width="47.36328125" style="944" customWidth="1"/>
    <col min="8963" max="8963" width="5.453125" style="944" customWidth="1"/>
    <col min="8964" max="8964" width="10.08984375" style="944" bestFit="1" customWidth="1"/>
    <col min="8965" max="8965" width="10.08984375" style="944" customWidth="1"/>
    <col min="8966" max="8966" width="11.6328125" style="944" customWidth="1"/>
    <col min="8967" max="8967" width="0" style="944" hidden="1" customWidth="1"/>
    <col min="8968" max="8968" width="8" style="944" customWidth="1"/>
    <col min="8969" max="8969" width="13.6328125" style="944" customWidth="1"/>
    <col min="8970" max="8970" width="11.6328125" style="944" customWidth="1"/>
    <col min="8971" max="9215" width="8" style="944" customWidth="1"/>
    <col min="9216" max="9216" width="9.6328125" style="944"/>
    <col min="9217" max="9217" width="9.6328125" style="944" customWidth="1"/>
    <col min="9218" max="9218" width="47.36328125" style="944" customWidth="1"/>
    <col min="9219" max="9219" width="5.453125" style="944" customWidth="1"/>
    <col min="9220" max="9220" width="10.08984375" style="944" bestFit="1" customWidth="1"/>
    <col min="9221" max="9221" width="10.08984375" style="944" customWidth="1"/>
    <col min="9222" max="9222" width="11.6328125" style="944" customWidth="1"/>
    <col min="9223" max="9223" width="0" style="944" hidden="1" customWidth="1"/>
    <col min="9224" max="9224" width="8" style="944" customWidth="1"/>
    <col min="9225" max="9225" width="13.6328125" style="944" customWidth="1"/>
    <col min="9226" max="9226" width="11.6328125" style="944" customWidth="1"/>
    <col min="9227" max="9471" width="8" style="944" customWidth="1"/>
    <col min="9472" max="9472" width="9.6328125" style="944"/>
    <col min="9473" max="9473" width="9.6328125" style="944" customWidth="1"/>
    <col min="9474" max="9474" width="47.36328125" style="944" customWidth="1"/>
    <col min="9475" max="9475" width="5.453125" style="944" customWidth="1"/>
    <col min="9476" max="9476" width="10.08984375" style="944" bestFit="1" customWidth="1"/>
    <col min="9477" max="9477" width="10.08984375" style="944" customWidth="1"/>
    <col min="9478" max="9478" width="11.6328125" style="944" customWidth="1"/>
    <col min="9479" max="9479" width="0" style="944" hidden="1" customWidth="1"/>
    <col min="9480" max="9480" width="8" style="944" customWidth="1"/>
    <col min="9481" max="9481" width="13.6328125" style="944" customWidth="1"/>
    <col min="9482" max="9482" width="11.6328125" style="944" customWidth="1"/>
    <col min="9483" max="9727" width="8" style="944" customWidth="1"/>
    <col min="9728" max="9728" width="9.6328125" style="944"/>
    <col min="9729" max="9729" width="9.6328125" style="944" customWidth="1"/>
    <col min="9730" max="9730" width="47.36328125" style="944" customWidth="1"/>
    <col min="9731" max="9731" width="5.453125" style="944" customWidth="1"/>
    <col min="9732" max="9732" width="10.08984375" style="944" bestFit="1" customWidth="1"/>
    <col min="9733" max="9733" width="10.08984375" style="944" customWidth="1"/>
    <col min="9734" max="9734" width="11.6328125" style="944" customWidth="1"/>
    <col min="9735" max="9735" width="0" style="944" hidden="1" customWidth="1"/>
    <col min="9736" max="9736" width="8" style="944" customWidth="1"/>
    <col min="9737" max="9737" width="13.6328125" style="944" customWidth="1"/>
    <col min="9738" max="9738" width="11.6328125" style="944" customWidth="1"/>
    <col min="9739" max="9983" width="8" style="944" customWidth="1"/>
    <col min="9984" max="9984" width="9.6328125" style="944"/>
    <col min="9985" max="9985" width="9.6328125" style="944" customWidth="1"/>
    <col min="9986" max="9986" width="47.36328125" style="944" customWidth="1"/>
    <col min="9987" max="9987" width="5.453125" style="944" customWidth="1"/>
    <col min="9988" max="9988" width="10.08984375" style="944" bestFit="1" customWidth="1"/>
    <col min="9989" max="9989" width="10.08984375" style="944" customWidth="1"/>
    <col min="9990" max="9990" width="11.6328125" style="944" customWidth="1"/>
    <col min="9991" max="9991" width="0" style="944" hidden="1" customWidth="1"/>
    <col min="9992" max="9992" width="8" style="944" customWidth="1"/>
    <col min="9993" max="9993" width="13.6328125" style="944" customWidth="1"/>
    <col min="9994" max="9994" width="11.6328125" style="944" customWidth="1"/>
    <col min="9995" max="10239" width="8" style="944" customWidth="1"/>
    <col min="10240" max="10240" width="9.6328125" style="944"/>
    <col min="10241" max="10241" width="9.6328125" style="944" customWidth="1"/>
    <col min="10242" max="10242" width="47.36328125" style="944" customWidth="1"/>
    <col min="10243" max="10243" width="5.453125" style="944" customWidth="1"/>
    <col min="10244" max="10244" width="10.08984375" style="944" bestFit="1" customWidth="1"/>
    <col min="10245" max="10245" width="10.08984375" style="944" customWidth="1"/>
    <col min="10246" max="10246" width="11.6328125" style="944" customWidth="1"/>
    <col min="10247" max="10247" width="0" style="944" hidden="1" customWidth="1"/>
    <col min="10248" max="10248" width="8" style="944" customWidth="1"/>
    <col min="10249" max="10249" width="13.6328125" style="944" customWidth="1"/>
    <col min="10250" max="10250" width="11.6328125" style="944" customWidth="1"/>
    <col min="10251" max="10495" width="8" style="944" customWidth="1"/>
    <col min="10496" max="10496" width="9.6328125" style="944"/>
    <col min="10497" max="10497" width="9.6328125" style="944" customWidth="1"/>
    <col min="10498" max="10498" width="47.36328125" style="944" customWidth="1"/>
    <col min="10499" max="10499" width="5.453125" style="944" customWidth="1"/>
    <col min="10500" max="10500" width="10.08984375" style="944" bestFit="1" customWidth="1"/>
    <col min="10501" max="10501" width="10.08984375" style="944" customWidth="1"/>
    <col min="10502" max="10502" width="11.6328125" style="944" customWidth="1"/>
    <col min="10503" max="10503" width="0" style="944" hidden="1" customWidth="1"/>
    <col min="10504" max="10504" width="8" style="944" customWidth="1"/>
    <col min="10505" max="10505" width="13.6328125" style="944" customWidth="1"/>
    <col min="10506" max="10506" width="11.6328125" style="944" customWidth="1"/>
    <col min="10507" max="10751" width="8" style="944" customWidth="1"/>
    <col min="10752" max="10752" width="9.6328125" style="944"/>
    <col min="10753" max="10753" width="9.6328125" style="944" customWidth="1"/>
    <col min="10754" max="10754" width="47.36328125" style="944" customWidth="1"/>
    <col min="10755" max="10755" width="5.453125" style="944" customWidth="1"/>
    <col min="10756" max="10756" width="10.08984375" style="944" bestFit="1" customWidth="1"/>
    <col min="10757" max="10757" width="10.08984375" style="944" customWidth="1"/>
    <col min="10758" max="10758" width="11.6328125" style="944" customWidth="1"/>
    <col min="10759" max="10759" width="0" style="944" hidden="1" customWidth="1"/>
    <col min="10760" max="10760" width="8" style="944" customWidth="1"/>
    <col min="10761" max="10761" width="13.6328125" style="944" customWidth="1"/>
    <col min="10762" max="10762" width="11.6328125" style="944" customWidth="1"/>
    <col min="10763" max="11007" width="8" style="944" customWidth="1"/>
    <col min="11008" max="11008" width="9.6328125" style="944"/>
    <col min="11009" max="11009" width="9.6328125" style="944" customWidth="1"/>
    <col min="11010" max="11010" width="47.36328125" style="944" customWidth="1"/>
    <col min="11011" max="11011" width="5.453125" style="944" customWidth="1"/>
    <col min="11012" max="11012" width="10.08984375" style="944" bestFit="1" customWidth="1"/>
    <col min="11013" max="11013" width="10.08984375" style="944" customWidth="1"/>
    <col min="11014" max="11014" width="11.6328125" style="944" customWidth="1"/>
    <col min="11015" max="11015" width="0" style="944" hidden="1" customWidth="1"/>
    <col min="11016" max="11016" width="8" style="944" customWidth="1"/>
    <col min="11017" max="11017" width="13.6328125" style="944" customWidth="1"/>
    <col min="11018" max="11018" width="11.6328125" style="944" customWidth="1"/>
    <col min="11019" max="11263" width="8" style="944" customWidth="1"/>
    <col min="11264" max="11264" width="9.6328125" style="944"/>
    <col min="11265" max="11265" width="9.6328125" style="944" customWidth="1"/>
    <col min="11266" max="11266" width="47.36328125" style="944" customWidth="1"/>
    <col min="11267" max="11267" width="5.453125" style="944" customWidth="1"/>
    <col min="11268" max="11268" width="10.08984375" style="944" bestFit="1" customWidth="1"/>
    <col min="11269" max="11269" width="10.08984375" style="944" customWidth="1"/>
    <col min="11270" max="11270" width="11.6328125" style="944" customWidth="1"/>
    <col min="11271" max="11271" width="0" style="944" hidden="1" customWidth="1"/>
    <col min="11272" max="11272" width="8" style="944" customWidth="1"/>
    <col min="11273" max="11273" width="13.6328125" style="944" customWidth="1"/>
    <col min="11274" max="11274" width="11.6328125" style="944" customWidth="1"/>
    <col min="11275" max="11519" width="8" style="944" customWidth="1"/>
    <col min="11520" max="11520" width="9.6328125" style="944"/>
    <col min="11521" max="11521" width="9.6328125" style="944" customWidth="1"/>
    <col min="11522" max="11522" width="47.36328125" style="944" customWidth="1"/>
    <col min="11523" max="11523" width="5.453125" style="944" customWidth="1"/>
    <col min="11524" max="11524" width="10.08984375" style="944" bestFit="1" customWidth="1"/>
    <col min="11525" max="11525" width="10.08984375" style="944" customWidth="1"/>
    <col min="11526" max="11526" width="11.6328125" style="944" customWidth="1"/>
    <col min="11527" max="11527" width="0" style="944" hidden="1" customWidth="1"/>
    <col min="11528" max="11528" width="8" style="944" customWidth="1"/>
    <col min="11529" max="11529" width="13.6328125" style="944" customWidth="1"/>
    <col min="11530" max="11530" width="11.6328125" style="944" customWidth="1"/>
    <col min="11531" max="11775" width="8" style="944" customWidth="1"/>
    <col min="11776" max="11776" width="9.6328125" style="944"/>
    <col min="11777" max="11777" width="9.6328125" style="944" customWidth="1"/>
    <col min="11778" max="11778" width="47.36328125" style="944" customWidth="1"/>
    <col min="11779" max="11779" width="5.453125" style="944" customWidth="1"/>
    <col min="11780" max="11780" width="10.08984375" style="944" bestFit="1" customWidth="1"/>
    <col min="11781" max="11781" width="10.08984375" style="944" customWidth="1"/>
    <col min="11782" max="11782" width="11.6328125" style="944" customWidth="1"/>
    <col min="11783" max="11783" width="0" style="944" hidden="1" customWidth="1"/>
    <col min="11784" max="11784" width="8" style="944" customWidth="1"/>
    <col min="11785" max="11785" width="13.6328125" style="944" customWidth="1"/>
    <col min="11786" max="11786" width="11.6328125" style="944" customWidth="1"/>
    <col min="11787" max="12031" width="8" style="944" customWidth="1"/>
    <col min="12032" max="12032" width="9.6328125" style="944"/>
    <col min="12033" max="12033" width="9.6328125" style="944" customWidth="1"/>
    <col min="12034" max="12034" width="47.36328125" style="944" customWidth="1"/>
    <col min="12035" max="12035" width="5.453125" style="944" customWidth="1"/>
    <col min="12036" max="12036" width="10.08984375" style="944" bestFit="1" customWidth="1"/>
    <col min="12037" max="12037" width="10.08984375" style="944" customWidth="1"/>
    <col min="12038" max="12038" width="11.6328125" style="944" customWidth="1"/>
    <col min="12039" max="12039" width="0" style="944" hidden="1" customWidth="1"/>
    <col min="12040" max="12040" width="8" style="944" customWidth="1"/>
    <col min="12041" max="12041" width="13.6328125" style="944" customWidth="1"/>
    <col min="12042" max="12042" width="11.6328125" style="944" customWidth="1"/>
    <col min="12043" max="12287" width="8" style="944" customWidth="1"/>
    <col min="12288" max="12288" width="9.6328125" style="944"/>
    <col min="12289" max="12289" width="9.6328125" style="944" customWidth="1"/>
    <col min="12290" max="12290" width="47.36328125" style="944" customWidth="1"/>
    <col min="12291" max="12291" width="5.453125" style="944" customWidth="1"/>
    <col min="12292" max="12292" width="10.08984375" style="944" bestFit="1" customWidth="1"/>
    <col min="12293" max="12293" width="10.08984375" style="944" customWidth="1"/>
    <col min="12294" max="12294" width="11.6328125" style="944" customWidth="1"/>
    <col min="12295" max="12295" width="0" style="944" hidden="1" customWidth="1"/>
    <col min="12296" max="12296" width="8" style="944" customWidth="1"/>
    <col min="12297" max="12297" width="13.6328125" style="944" customWidth="1"/>
    <col min="12298" max="12298" width="11.6328125" style="944" customWidth="1"/>
    <col min="12299" max="12543" width="8" style="944" customWidth="1"/>
    <col min="12544" max="12544" width="9.6328125" style="944"/>
    <col min="12545" max="12545" width="9.6328125" style="944" customWidth="1"/>
    <col min="12546" max="12546" width="47.36328125" style="944" customWidth="1"/>
    <col min="12547" max="12547" width="5.453125" style="944" customWidth="1"/>
    <col min="12548" max="12548" width="10.08984375" style="944" bestFit="1" customWidth="1"/>
    <col min="12549" max="12549" width="10.08984375" style="944" customWidth="1"/>
    <col min="12550" max="12550" width="11.6328125" style="944" customWidth="1"/>
    <col min="12551" max="12551" width="0" style="944" hidden="1" customWidth="1"/>
    <col min="12552" max="12552" width="8" style="944" customWidth="1"/>
    <col min="12553" max="12553" width="13.6328125" style="944" customWidth="1"/>
    <col min="12554" max="12554" width="11.6328125" style="944" customWidth="1"/>
    <col min="12555" max="12799" width="8" style="944" customWidth="1"/>
    <col min="12800" max="12800" width="9.6328125" style="944"/>
    <col min="12801" max="12801" width="9.6328125" style="944" customWidth="1"/>
    <col min="12802" max="12802" width="47.36328125" style="944" customWidth="1"/>
    <col min="12803" max="12803" width="5.453125" style="944" customWidth="1"/>
    <col min="12804" max="12804" width="10.08984375" style="944" bestFit="1" customWidth="1"/>
    <col min="12805" max="12805" width="10.08984375" style="944" customWidth="1"/>
    <col min="12806" max="12806" width="11.6328125" style="944" customWidth="1"/>
    <col min="12807" max="12807" width="0" style="944" hidden="1" customWidth="1"/>
    <col min="12808" max="12808" width="8" style="944" customWidth="1"/>
    <col min="12809" max="12809" width="13.6328125" style="944" customWidth="1"/>
    <col min="12810" max="12810" width="11.6328125" style="944" customWidth="1"/>
    <col min="12811" max="13055" width="8" style="944" customWidth="1"/>
    <col min="13056" max="13056" width="9.6328125" style="944"/>
    <col min="13057" max="13057" width="9.6328125" style="944" customWidth="1"/>
    <col min="13058" max="13058" width="47.36328125" style="944" customWidth="1"/>
    <col min="13059" max="13059" width="5.453125" style="944" customWidth="1"/>
    <col min="13060" max="13060" width="10.08984375" style="944" bestFit="1" customWidth="1"/>
    <col min="13061" max="13061" width="10.08984375" style="944" customWidth="1"/>
    <col min="13062" max="13062" width="11.6328125" style="944" customWidth="1"/>
    <col min="13063" max="13063" width="0" style="944" hidden="1" customWidth="1"/>
    <col min="13064" max="13064" width="8" style="944" customWidth="1"/>
    <col min="13065" max="13065" width="13.6328125" style="944" customWidth="1"/>
    <col min="13066" max="13066" width="11.6328125" style="944" customWidth="1"/>
    <col min="13067" max="13311" width="8" style="944" customWidth="1"/>
    <col min="13312" max="13312" width="9.6328125" style="944"/>
    <col min="13313" max="13313" width="9.6328125" style="944" customWidth="1"/>
    <col min="13314" max="13314" width="47.36328125" style="944" customWidth="1"/>
    <col min="13315" max="13315" width="5.453125" style="944" customWidth="1"/>
    <col min="13316" max="13316" width="10.08984375" style="944" bestFit="1" customWidth="1"/>
    <col min="13317" max="13317" width="10.08984375" style="944" customWidth="1"/>
    <col min="13318" max="13318" width="11.6328125" style="944" customWidth="1"/>
    <col min="13319" max="13319" width="0" style="944" hidden="1" customWidth="1"/>
    <col min="13320" max="13320" width="8" style="944" customWidth="1"/>
    <col min="13321" max="13321" width="13.6328125" style="944" customWidth="1"/>
    <col min="13322" max="13322" width="11.6328125" style="944" customWidth="1"/>
    <col min="13323" max="13567" width="8" style="944" customWidth="1"/>
    <col min="13568" max="13568" width="9.6328125" style="944"/>
    <col min="13569" max="13569" width="9.6328125" style="944" customWidth="1"/>
    <col min="13570" max="13570" width="47.36328125" style="944" customWidth="1"/>
    <col min="13571" max="13571" width="5.453125" style="944" customWidth="1"/>
    <col min="13572" max="13572" width="10.08984375" style="944" bestFit="1" customWidth="1"/>
    <col min="13573" max="13573" width="10.08984375" style="944" customWidth="1"/>
    <col min="13574" max="13574" width="11.6328125" style="944" customWidth="1"/>
    <col min="13575" max="13575" width="0" style="944" hidden="1" customWidth="1"/>
    <col min="13576" max="13576" width="8" style="944" customWidth="1"/>
    <col min="13577" max="13577" width="13.6328125" style="944" customWidth="1"/>
    <col min="13578" max="13578" width="11.6328125" style="944" customWidth="1"/>
    <col min="13579" max="13823" width="8" style="944" customWidth="1"/>
    <col min="13824" max="13824" width="9.6328125" style="944"/>
    <col min="13825" max="13825" width="9.6328125" style="944" customWidth="1"/>
    <col min="13826" max="13826" width="47.36328125" style="944" customWidth="1"/>
    <col min="13827" max="13827" width="5.453125" style="944" customWidth="1"/>
    <col min="13828" max="13828" width="10.08984375" style="944" bestFit="1" customWidth="1"/>
    <col min="13829" max="13829" width="10.08984375" style="944" customWidth="1"/>
    <col min="13830" max="13830" width="11.6328125" style="944" customWidth="1"/>
    <col min="13831" max="13831" width="0" style="944" hidden="1" customWidth="1"/>
    <col min="13832" max="13832" width="8" style="944" customWidth="1"/>
    <col min="13833" max="13833" width="13.6328125" style="944" customWidth="1"/>
    <col min="13834" max="13834" width="11.6328125" style="944" customWidth="1"/>
    <col min="13835" max="14079" width="8" style="944" customWidth="1"/>
    <col min="14080" max="14080" width="9.6328125" style="944"/>
    <col min="14081" max="14081" width="9.6328125" style="944" customWidth="1"/>
    <col min="14082" max="14082" width="47.36328125" style="944" customWidth="1"/>
    <col min="14083" max="14083" width="5.453125" style="944" customWidth="1"/>
    <col min="14084" max="14084" width="10.08984375" style="944" bestFit="1" customWidth="1"/>
    <col min="14085" max="14085" width="10.08984375" style="944" customWidth="1"/>
    <col min="14086" max="14086" width="11.6328125" style="944" customWidth="1"/>
    <col min="14087" max="14087" width="0" style="944" hidden="1" customWidth="1"/>
    <col min="14088" max="14088" width="8" style="944" customWidth="1"/>
    <col min="14089" max="14089" width="13.6328125" style="944" customWidth="1"/>
    <col min="14090" max="14090" width="11.6328125" style="944" customWidth="1"/>
    <col min="14091" max="14335" width="8" style="944" customWidth="1"/>
    <col min="14336" max="14336" width="9.6328125" style="944"/>
    <col min="14337" max="14337" width="9.6328125" style="944" customWidth="1"/>
    <col min="14338" max="14338" width="47.36328125" style="944" customWidth="1"/>
    <col min="14339" max="14339" width="5.453125" style="944" customWidth="1"/>
    <col min="14340" max="14340" width="10.08984375" style="944" bestFit="1" customWidth="1"/>
    <col min="14341" max="14341" width="10.08984375" style="944" customWidth="1"/>
    <col min="14342" max="14342" width="11.6328125" style="944" customWidth="1"/>
    <col min="14343" max="14343" width="0" style="944" hidden="1" customWidth="1"/>
    <col min="14344" max="14344" width="8" style="944" customWidth="1"/>
    <col min="14345" max="14345" width="13.6328125" style="944" customWidth="1"/>
    <col min="14346" max="14346" width="11.6328125" style="944" customWidth="1"/>
    <col min="14347" max="14591" width="8" style="944" customWidth="1"/>
    <col min="14592" max="14592" width="9.6328125" style="944"/>
    <col min="14593" max="14593" width="9.6328125" style="944" customWidth="1"/>
    <col min="14594" max="14594" width="47.36328125" style="944" customWidth="1"/>
    <col min="14595" max="14595" width="5.453125" style="944" customWidth="1"/>
    <col min="14596" max="14596" width="10.08984375" style="944" bestFit="1" customWidth="1"/>
    <col min="14597" max="14597" width="10.08984375" style="944" customWidth="1"/>
    <col min="14598" max="14598" width="11.6328125" style="944" customWidth="1"/>
    <col min="14599" max="14599" width="0" style="944" hidden="1" customWidth="1"/>
    <col min="14600" max="14600" width="8" style="944" customWidth="1"/>
    <col min="14601" max="14601" width="13.6328125" style="944" customWidth="1"/>
    <col min="14602" max="14602" width="11.6328125" style="944" customWidth="1"/>
    <col min="14603" max="14847" width="8" style="944" customWidth="1"/>
    <col min="14848" max="14848" width="9.6328125" style="944"/>
    <col min="14849" max="14849" width="9.6328125" style="944" customWidth="1"/>
    <col min="14850" max="14850" width="47.36328125" style="944" customWidth="1"/>
    <col min="14851" max="14851" width="5.453125" style="944" customWidth="1"/>
    <col min="14852" max="14852" width="10.08984375" style="944" bestFit="1" customWidth="1"/>
    <col min="14853" max="14853" width="10.08984375" style="944" customWidth="1"/>
    <col min="14854" max="14854" width="11.6328125" style="944" customWidth="1"/>
    <col min="14855" max="14855" width="0" style="944" hidden="1" customWidth="1"/>
    <col min="14856" max="14856" width="8" style="944" customWidth="1"/>
    <col min="14857" max="14857" width="13.6328125" style="944" customWidth="1"/>
    <col min="14858" max="14858" width="11.6328125" style="944" customWidth="1"/>
    <col min="14859" max="15103" width="8" style="944" customWidth="1"/>
    <col min="15104" max="15104" width="9.6328125" style="944"/>
    <col min="15105" max="15105" width="9.6328125" style="944" customWidth="1"/>
    <col min="15106" max="15106" width="47.36328125" style="944" customWidth="1"/>
    <col min="15107" max="15107" width="5.453125" style="944" customWidth="1"/>
    <col min="15108" max="15108" width="10.08984375" style="944" bestFit="1" customWidth="1"/>
    <col min="15109" max="15109" width="10.08984375" style="944" customWidth="1"/>
    <col min="15110" max="15110" width="11.6328125" style="944" customWidth="1"/>
    <col min="15111" max="15111" width="0" style="944" hidden="1" customWidth="1"/>
    <col min="15112" max="15112" width="8" style="944" customWidth="1"/>
    <col min="15113" max="15113" width="13.6328125" style="944" customWidth="1"/>
    <col min="15114" max="15114" width="11.6328125" style="944" customWidth="1"/>
    <col min="15115" max="15359" width="8" style="944" customWidth="1"/>
    <col min="15360" max="15360" width="9.6328125" style="944"/>
    <col min="15361" max="15361" width="9.6328125" style="944" customWidth="1"/>
    <col min="15362" max="15362" width="47.36328125" style="944" customWidth="1"/>
    <col min="15363" max="15363" width="5.453125" style="944" customWidth="1"/>
    <col min="15364" max="15364" width="10.08984375" style="944" bestFit="1" customWidth="1"/>
    <col min="15365" max="15365" width="10.08984375" style="944" customWidth="1"/>
    <col min="15366" max="15366" width="11.6328125" style="944" customWidth="1"/>
    <col min="15367" max="15367" width="0" style="944" hidden="1" customWidth="1"/>
    <col min="15368" max="15368" width="8" style="944" customWidth="1"/>
    <col min="15369" max="15369" width="13.6328125" style="944" customWidth="1"/>
    <col min="15370" max="15370" width="11.6328125" style="944" customWidth="1"/>
    <col min="15371" max="15615" width="8" style="944" customWidth="1"/>
    <col min="15616" max="15616" width="9.6328125" style="944"/>
    <col min="15617" max="15617" width="9.6328125" style="944" customWidth="1"/>
    <col min="15618" max="15618" width="47.36328125" style="944" customWidth="1"/>
    <col min="15619" max="15619" width="5.453125" style="944" customWidth="1"/>
    <col min="15620" max="15620" width="10.08984375" style="944" bestFit="1" customWidth="1"/>
    <col min="15621" max="15621" width="10.08984375" style="944" customWidth="1"/>
    <col min="15622" max="15622" width="11.6328125" style="944" customWidth="1"/>
    <col min="15623" max="15623" width="0" style="944" hidden="1" customWidth="1"/>
    <col min="15624" max="15624" width="8" style="944" customWidth="1"/>
    <col min="15625" max="15625" width="13.6328125" style="944" customWidth="1"/>
    <col min="15626" max="15626" width="11.6328125" style="944" customWidth="1"/>
    <col min="15627" max="15871" width="8" style="944" customWidth="1"/>
    <col min="15872" max="15872" width="9.6328125" style="944"/>
    <col min="15873" max="15873" width="9.6328125" style="944" customWidth="1"/>
    <col min="15874" max="15874" width="47.36328125" style="944" customWidth="1"/>
    <col min="15875" max="15875" width="5.453125" style="944" customWidth="1"/>
    <col min="15876" max="15876" width="10.08984375" style="944" bestFit="1" customWidth="1"/>
    <col min="15877" max="15877" width="10.08984375" style="944" customWidth="1"/>
    <col min="15878" max="15878" width="11.6328125" style="944" customWidth="1"/>
    <col min="15879" max="15879" width="0" style="944" hidden="1" customWidth="1"/>
    <col min="15880" max="15880" width="8" style="944" customWidth="1"/>
    <col min="15881" max="15881" width="13.6328125" style="944" customWidth="1"/>
    <col min="15882" max="15882" width="11.6328125" style="944" customWidth="1"/>
    <col min="15883" max="16127" width="8" style="944" customWidth="1"/>
    <col min="16128" max="16128" width="9.6328125" style="944"/>
    <col min="16129" max="16129" width="9.6328125" style="944" customWidth="1"/>
    <col min="16130" max="16130" width="47.36328125" style="944" customWidth="1"/>
    <col min="16131" max="16131" width="5.453125" style="944" customWidth="1"/>
    <col min="16132" max="16132" width="10.08984375" style="944" bestFit="1" customWidth="1"/>
    <col min="16133" max="16133" width="10.08984375" style="944" customWidth="1"/>
    <col min="16134" max="16134" width="11.6328125" style="944" customWidth="1"/>
    <col min="16135" max="16135" width="0" style="944" hidden="1" customWidth="1"/>
    <col min="16136" max="16136" width="8" style="944" customWidth="1"/>
    <col min="16137" max="16137" width="13.6328125" style="944" customWidth="1"/>
    <col min="16138" max="16138" width="11.6328125" style="944" customWidth="1"/>
    <col min="16139" max="16383" width="8" style="944" customWidth="1"/>
    <col min="16384" max="16384" width="9.6328125" style="944"/>
  </cols>
  <sheetData>
    <row r="1" spans="1:10" s="901" customFormat="1" ht="17.25" customHeight="1" thickTop="1">
      <c r="A1" s="894"/>
      <c r="B1" s="895"/>
      <c r="C1" s="896"/>
      <c r="D1" s="897"/>
      <c r="E1" s="898"/>
      <c r="F1" s="899"/>
      <c r="G1" s="900"/>
    </row>
    <row r="2" spans="1:10" s="901" customFormat="1" ht="18.5">
      <c r="A2" s="902"/>
      <c r="B2" s="1565" t="s">
        <v>1473</v>
      </c>
      <c r="C2" s="1565"/>
      <c r="D2" s="1565"/>
      <c r="E2" s="1565"/>
      <c r="F2" s="903"/>
      <c r="G2" s="904"/>
    </row>
    <row r="3" spans="1:10" s="901" customFormat="1" ht="16" thickBot="1">
      <c r="A3" s="902"/>
      <c r="B3" s="905"/>
      <c r="C3" s="905"/>
      <c r="D3" s="905"/>
      <c r="E3" s="906"/>
      <c r="F3" s="903"/>
      <c r="G3" s="904"/>
    </row>
    <row r="4" spans="1:10" s="901" customFormat="1">
      <c r="A4" s="907" t="s">
        <v>4</v>
      </c>
      <c r="B4" s="908" t="s">
        <v>5</v>
      </c>
      <c r="C4" s="909" t="s">
        <v>6</v>
      </c>
      <c r="D4" s="910" t="s">
        <v>1201</v>
      </c>
      <c r="E4" s="911" t="s">
        <v>1200</v>
      </c>
      <c r="F4" s="912" t="s">
        <v>1199</v>
      </c>
      <c r="G4" s="913"/>
    </row>
    <row r="5" spans="1:10" s="901" customFormat="1" ht="16" thickBot="1">
      <c r="A5" s="914" t="s">
        <v>13</v>
      </c>
      <c r="B5" s="915"/>
      <c r="C5" s="916"/>
      <c r="D5" s="917"/>
      <c r="E5" s="918" t="s">
        <v>1198</v>
      </c>
      <c r="F5" s="919" t="s">
        <v>1198</v>
      </c>
      <c r="G5" s="920" t="s">
        <v>1197</v>
      </c>
    </row>
    <row r="6" spans="1:10" s="901" customFormat="1">
      <c r="A6" s="921"/>
      <c r="B6" s="922"/>
      <c r="C6" s="923"/>
      <c r="D6" s="924"/>
      <c r="E6" s="925"/>
      <c r="F6" s="926"/>
      <c r="G6" s="927"/>
    </row>
    <row r="7" spans="1:10" s="901" customFormat="1" ht="18.75" customHeight="1" thickBot="1">
      <c r="A7" s="928">
        <v>1</v>
      </c>
      <c r="B7" s="929" t="s">
        <v>1475</v>
      </c>
      <c r="C7" s="930"/>
      <c r="D7" s="931"/>
      <c r="E7" s="932"/>
      <c r="F7" s="933"/>
      <c r="G7" s="934"/>
    </row>
    <row r="8" spans="1:10" s="901" customFormat="1" ht="9.9" customHeight="1" thickBot="1">
      <c r="A8" s="935"/>
      <c r="B8" s="936"/>
      <c r="C8" s="937"/>
      <c r="D8" s="938"/>
      <c r="E8" s="939"/>
      <c r="F8" s="940"/>
      <c r="G8" s="941"/>
    </row>
    <row r="9" spans="1:10">
      <c r="A9" s="942">
        <v>1.1000000000000001</v>
      </c>
      <c r="B9" s="922" t="s">
        <v>82</v>
      </c>
      <c r="C9" s="923"/>
      <c r="D9" s="924"/>
      <c r="E9" s="925"/>
      <c r="F9" s="926"/>
      <c r="G9" s="943"/>
      <c r="J9" s="945"/>
    </row>
    <row r="10" spans="1:10" s="947" customFormat="1" ht="9.9" customHeight="1">
      <c r="A10" s="921"/>
      <c r="B10" s="922"/>
      <c r="C10" s="923"/>
      <c r="D10" s="924"/>
      <c r="E10" s="925"/>
      <c r="F10" s="926"/>
      <c r="G10" s="946"/>
    </row>
    <row r="11" spans="1:10" ht="46.5">
      <c r="A11" s="948" t="s">
        <v>83</v>
      </c>
      <c r="B11" s="949" t="s">
        <v>84</v>
      </c>
      <c r="C11" s="950" t="s">
        <v>0</v>
      </c>
      <c r="D11" s="951" t="s">
        <v>12</v>
      </c>
      <c r="E11" s="925"/>
      <c r="F11" s="926">
        <f>E11</f>
        <v>0</v>
      </c>
      <c r="G11" s="952"/>
    </row>
    <row r="12" spans="1:10" ht="9.9" customHeight="1">
      <c r="A12" s="948"/>
      <c r="B12" s="949"/>
      <c r="C12" s="950"/>
      <c r="D12" s="951"/>
      <c r="E12" s="925"/>
      <c r="F12" s="926"/>
      <c r="G12" s="952"/>
    </row>
    <row r="13" spans="1:10" ht="79.5">
      <c r="A13" s="948" t="s">
        <v>85</v>
      </c>
      <c r="B13" s="949" t="s">
        <v>1476</v>
      </c>
      <c r="C13" s="950" t="s">
        <v>0</v>
      </c>
      <c r="D13" s="951" t="s">
        <v>12</v>
      </c>
      <c r="E13" s="925"/>
      <c r="F13" s="926">
        <f>E13</f>
        <v>0</v>
      </c>
      <c r="G13" s="952"/>
    </row>
    <row r="14" spans="1:10" ht="9.9" customHeight="1">
      <c r="A14" s="948"/>
      <c r="B14" s="949"/>
      <c r="C14" s="950"/>
      <c r="D14" s="951"/>
      <c r="E14" s="925"/>
      <c r="F14" s="926"/>
      <c r="G14" s="952"/>
    </row>
    <row r="15" spans="1:10" ht="93">
      <c r="A15" s="948" t="s">
        <v>86</v>
      </c>
      <c r="B15" s="949" t="s">
        <v>87</v>
      </c>
      <c r="C15" s="950" t="s">
        <v>0</v>
      </c>
      <c r="D15" s="951" t="s">
        <v>12</v>
      </c>
      <c r="E15" s="925"/>
      <c r="F15" s="926">
        <f>E15</f>
        <v>0</v>
      </c>
      <c r="G15" s="952"/>
    </row>
    <row r="16" spans="1:10">
      <c r="A16" s="921"/>
      <c r="B16" s="922"/>
      <c r="C16" s="923"/>
      <c r="D16" s="924"/>
      <c r="E16" s="925"/>
      <c r="F16" s="926"/>
      <c r="G16" s="952"/>
    </row>
    <row r="17" spans="1:7" ht="17.25" customHeight="1">
      <c r="A17" s="921">
        <v>1.2</v>
      </c>
      <c r="B17" s="953" t="s">
        <v>33</v>
      </c>
      <c r="C17" s="954"/>
      <c r="D17" s="955"/>
      <c r="E17" s="956"/>
      <c r="F17" s="926"/>
      <c r="G17" s="952"/>
    </row>
    <row r="18" spans="1:7" ht="62">
      <c r="A18" s="921"/>
      <c r="B18" s="957" t="s">
        <v>22</v>
      </c>
      <c r="C18" s="954"/>
      <c r="D18" s="955"/>
      <c r="E18" s="956"/>
      <c r="F18" s="926"/>
      <c r="G18" s="952"/>
    </row>
    <row r="19" spans="1:7" ht="9.9" customHeight="1">
      <c r="A19" s="921"/>
      <c r="B19" s="957"/>
      <c r="C19" s="954"/>
      <c r="D19" s="955"/>
      <c r="E19" s="956"/>
      <c r="F19" s="926"/>
      <c r="G19" s="952"/>
    </row>
    <row r="20" spans="1:7" ht="46.5">
      <c r="A20" s="921"/>
      <c r="B20" s="958" t="s">
        <v>1196</v>
      </c>
      <c r="C20" s="954"/>
      <c r="D20" s="955"/>
      <c r="E20" s="956"/>
      <c r="F20" s="926"/>
      <c r="G20" s="952"/>
    </row>
    <row r="21" spans="1:7" ht="11.25" customHeight="1">
      <c r="A21" s="921"/>
      <c r="B21" s="959"/>
      <c r="C21" s="954"/>
      <c r="D21" s="955"/>
      <c r="E21" s="956"/>
      <c r="F21" s="926"/>
      <c r="G21" s="952"/>
    </row>
    <row r="22" spans="1:7" ht="77.5">
      <c r="A22" s="921"/>
      <c r="B22" s="959" t="s">
        <v>88</v>
      </c>
      <c r="C22" s="954"/>
      <c r="D22" s="955"/>
      <c r="E22" s="956"/>
      <c r="F22" s="926"/>
      <c r="G22" s="952"/>
    </row>
    <row r="23" spans="1:7" ht="9.9" customHeight="1">
      <c r="A23" s="921"/>
      <c r="B23" s="959"/>
      <c r="C23" s="954"/>
      <c r="D23" s="955"/>
      <c r="E23" s="956"/>
      <c r="F23" s="926"/>
      <c r="G23" s="952"/>
    </row>
    <row r="24" spans="1:7" ht="17.5">
      <c r="A24" s="960" t="s">
        <v>89</v>
      </c>
      <c r="B24" s="957" t="s">
        <v>1195</v>
      </c>
      <c r="C24" s="961" t="s">
        <v>1438</v>
      </c>
      <c r="D24" s="962">
        <v>1700</v>
      </c>
      <c r="E24" s="956"/>
      <c r="F24" s="926">
        <f t="shared" ref="F24:F42" si="0">E24*D24</f>
        <v>0</v>
      </c>
      <c r="G24" s="952"/>
    </row>
    <row r="25" spans="1:7">
      <c r="A25" s="960"/>
      <c r="B25" s="957"/>
      <c r="C25" s="961"/>
      <c r="D25" s="962"/>
      <c r="E25" s="956"/>
      <c r="F25" s="926">
        <f t="shared" si="0"/>
        <v>0</v>
      </c>
      <c r="G25" s="952"/>
    </row>
    <row r="26" spans="1:7" ht="17.5">
      <c r="A26" s="960" t="s">
        <v>90</v>
      </c>
      <c r="B26" s="963" t="s">
        <v>1194</v>
      </c>
      <c r="C26" s="961" t="s">
        <v>1438</v>
      </c>
      <c r="D26" s="962">
        <v>1700</v>
      </c>
      <c r="E26" s="956"/>
      <c r="F26" s="926">
        <f t="shared" si="0"/>
        <v>0</v>
      </c>
      <c r="G26" s="952"/>
    </row>
    <row r="27" spans="1:7">
      <c r="A27" s="960"/>
      <c r="B27" s="963"/>
      <c r="C27" s="961"/>
      <c r="D27" s="962"/>
      <c r="E27" s="956"/>
      <c r="F27" s="926">
        <f t="shared" si="0"/>
        <v>0</v>
      </c>
      <c r="G27" s="952"/>
    </row>
    <row r="28" spans="1:7" ht="17.5">
      <c r="A28" s="964" t="s">
        <v>91</v>
      </c>
      <c r="B28" s="965" t="s">
        <v>92</v>
      </c>
      <c r="C28" s="966" t="s">
        <v>1438</v>
      </c>
      <c r="D28" s="967">
        <v>5300</v>
      </c>
      <c r="E28" s="968"/>
      <c r="F28" s="926">
        <f t="shared" si="0"/>
        <v>0</v>
      </c>
      <c r="G28" s="952"/>
    </row>
    <row r="29" spans="1:7" ht="9.9" customHeight="1">
      <c r="A29" s="964"/>
      <c r="B29" s="965"/>
      <c r="C29" s="966"/>
      <c r="D29" s="967"/>
      <c r="E29" s="968"/>
      <c r="F29" s="926">
        <f t="shared" si="0"/>
        <v>0</v>
      </c>
      <c r="G29" s="952"/>
    </row>
    <row r="30" spans="1:7" ht="17.5">
      <c r="A30" s="964" t="s">
        <v>93</v>
      </c>
      <c r="B30" s="965" t="s">
        <v>1193</v>
      </c>
      <c r="C30" s="966" t="s">
        <v>1438</v>
      </c>
      <c r="D30" s="967">
        <v>4700</v>
      </c>
      <c r="E30" s="968"/>
      <c r="F30" s="926">
        <f t="shared" si="0"/>
        <v>0</v>
      </c>
      <c r="G30" s="944"/>
    </row>
    <row r="31" spans="1:7" ht="9.9" customHeight="1">
      <c r="A31" s="960"/>
      <c r="B31" s="963"/>
      <c r="C31" s="961"/>
      <c r="D31" s="962"/>
      <c r="E31" s="956"/>
      <c r="F31" s="926">
        <f t="shared" si="0"/>
        <v>0</v>
      </c>
      <c r="G31" s="944"/>
    </row>
    <row r="32" spans="1:7" ht="62">
      <c r="A32" s="960" t="s">
        <v>94</v>
      </c>
      <c r="B32" s="959" t="s">
        <v>95</v>
      </c>
      <c r="C32" s="961" t="s">
        <v>1438</v>
      </c>
      <c r="D32" s="962">
        <v>550</v>
      </c>
      <c r="E32" s="956"/>
      <c r="F32" s="926">
        <f t="shared" si="0"/>
        <v>0</v>
      </c>
      <c r="G32" s="944"/>
    </row>
    <row r="33" spans="1:7">
      <c r="A33" s="960"/>
      <c r="B33" s="959"/>
      <c r="C33" s="961"/>
      <c r="D33" s="962"/>
      <c r="E33" s="956"/>
      <c r="F33" s="926"/>
      <c r="G33" s="944"/>
    </row>
    <row r="34" spans="1:7">
      <c r="A34" s="960"/>
      <c r="B34" s="959"/>
      <c r="C34" s="961"/>
      <c r="D34" s="962"/>
      <c r="E34" s="956"/>
      <c r="F34" s="926"/>
      <c r="G34" s="944"/>
    </row>
    <row r="35" spans="1:7">
      <c r="A35" s="960"/>
      <c r="B35" s="959"/>
      <c r="C35" s="961"/>
      <c r="D35" s="962"/>
      <c r="E35" s="956"/>
      <c r="F35" s="926"/>
      <c r="G35" s="944"/>
    </row>
    <row r="36" spans="1:7" ht="16" thickBot="1">
      <c r="A36" s="1562" t="s">
        <v>966</v>
      </c>
      <c r="B36" s="1563"/>
      <c r="C36" s="1563"/>
      <c r="D36" s="1563"/>
      <c r="E36" s="1564"/>
      <c r="F36" s="976">
        <f>SUM(F11:F34)</f>
        <v>0</v>
      </c>
      <c r="G36" s="944"/>
    </row>
    <row r="37" spans="1:7" ht="9" customHeight="1" thickTop="1">
      <c r="A37" s="960"/>
      <c r="B37" s="959"/>
      <c r="C37" s="961"/>
      <c r="D37" s="962"/>
      <c r="E37" s="956"/>
      <c r="F37" s="926"/>
      <c r="G37" s="944"/>
    </row>
    <row r="38" spans="1:7" ht="31">
      <c r="A38" s="969" t="s">
        <v>96</v>
      </c>
      <c r="B38" s="970" t="s">
        <v>1192</v>
      </c>
      <c r="C38" s="961" t="s">
        <v>1438</v>
      </c>
      <c r="D38" s="971">
        <v>540</v>
      </c>
      <c r="E38" s="956"/>
      <c r="F38" s="926">
        <f t="shared" si="0"/>
        <v>0</v>
      </c>
      <c r="G38" s="944"/>
    </row>
    <row r="39" spans="1:7" ht="9.75" customHeight="1">
      <c r="A39" s="969"/>
      <c r="B39" s="970"/>
      <c r="C39" s="954"/>
      <c r="D39" s="971"/>
      <c r="E39" s="956"/>
      <c r="F39" s="926">
        <f t="shared" si="0"/>
        <v>0</v>
      </c>
      <c r="G39" s="944"/>
    </row>
    <row r="40" spans="1:7" ht="17.5">
      <c r="A40" s="972" t="s">
        <v>97</v>
      </c>
      <c r="B40" s="963" t="s">
        <v>1191</v>
      </c>
      <c r="C40" s="961" t="s">
        <v>1438</v>
      </c>
      <c r="D40" s="971">
        <v>800</v>
      </c>
      <c r="E40" s="956"/>
      <c r="F40" s="926">
        <f t="shared" si="0"/>
        <v>0</v>
      </c>
      <c r="G40" s="944"/>
    </row>
    <row r="41" spans="1:7" ht="8.25" customHeight="1">
      <c r="A41" s="972"/>
      <c r="B41" s="970"/>
      <c r="C41" s="954"/>
      <c r="D41" s="971"/>
      <c r="E41" s="956"/>
      <c r="F41" s="926">
        <f t="shared" si="0"/>
        <v>0</v>
      </c>
      <c r="G41" s="944"/>
    </row>
    <row r="42" spans="1:7" ht="17.5">
      <c r="A42" s="972" t="s">
        <v>98</v>
      </c>
      <c r="B42" s="963" t="s">
        <v>1190</v>
      </c>
      <c r="C42" s="961" t="s">
        <v>1438</v>
      </c>
      <c r="D42" s="971">
        <v>1340</v>
      </c>
      <c r="E42" s="956"/>
      <c r="F42" s="926">
        <f t="shared" si="0"/>
        <v>0</v>
      </c>
      <c r="G42" s="973"/>
    </row>
    <row r="43" spans="1:7" ht="9.9" customHeight="1">
      <c r="A43" s="974"/>
      <c r="B43" s="1097"/>
      <c r="C43" s="1098"/>
      <c r="D43" s="971"/>
      <c r="E43" s="956"/>
      <c r="F43" s="926"/>
      <c r="G43" s="973"/>
    </row>
    <row r="44" spans="1:7" ht="14.25" customHeight="1">
      <c r="A44" s="942">
        <v>1.3</v>
      </c>
      <c r="B44" s="922" t="s">
        <v>99</v>
      </c>
      <c r="C44" s="923"/>
      <c r="D44" s="1099"/>
      <c r="E44" s="1100"/>
      <c r="F44" s="1101"/>
      <c r="G44" s="973"/>
    </row>
    <row r="45" spans="1:7" ht="8.25" customHeight="1">
      <c r="A45" s="972"/>
      <c r="B45" s="970"/>
      <c r="C45" s="954"/>
      <c r="D45" s="971"/>
      <c r="E45" s="956"/>
      <c r="F45" s="926"/>
      <c r="G45" s="944"/>
    </row>
    <row r="46" spans="1:7">
      <c r="A46" s="969"/>
      <c r="B46" s="977" t="s">
        <v>100</v>
      </c>
      <c r="C46" s="954"/>
      <c r="D46" s="971"/>
      <c r="E46" s="956"/>
      <c r="F46" s="926"/>
      <c r="G46" s="973"/>
    </row>
    <row r="47" spans="1:7" ht="8.25" customHeight="1">
      <c r="A47" s="972"/>
      <c r="B47" s="970"/>
      <c r="C47" s="954"/>
      <c r="D47" s="971"/>
      <c r="E47" s="956"/>
      <c r="F47" s="926"/>
      <c r="G47" s="944"/>
    </row>
    <row r="48" spans="1:7" ht="31">
      <c r="A48" s="969" t="s">
        <v>101</v>
      </c>
      <c r="B48" s="970" t="s">
        <v>102</v>
      </c>
      <c r="C48" s="954" t="s">
        <v>1477</v>
      </c>
      <c r="D48" s="971">
        <v>1550</v>
      </c>
      <c r="E48" s="956"/>
      <c r="F48" s="926">
        <f t="shared" ref="F48:F79" si="1">E48*D48</f>
        <v>0</v>
      </c>
      <c r="G48" s="952"/>
    </row>
    <row r="49" spans="1:7" ht="8.25" customHeight="1">
      <c r="A49" s="972"/>
      <c r="B49" s="970"/>
      <c r="C49" s="954"/>
      <c r="D49" s="971"/>
      <c r="E49" s="956"/>
      <c r="F49" s="926">
        <f t="shared" si="1"/>
        <v>0</v>
      </c>
      <c r="G49" s="944"/>
    </row>
    <row r="50" spans="1:7" ht="31">
      <c r="A50" s="969"/>
      <c r="B50" s="978" t="s">
        <v>1491</v>
      </c>
      <c r="C50" s="954"/>
      <c r="D50" s="971"/>
      <c r="E50" s="956"/>
      <c r="F50" s="926">
        <f t="shared" si="1"/>
        <v>0</v>
      </c>
      <c r="G50" s="952"/>
    </row>
    <row r="51" spans="1:7" ht="8.25" customHeight="1">
      <c r="A51" s="972"/>
      <c r="B51" s="970"/>
      <c r="C51" s="954"/>
      <c r="D51" s="971"/>
      <c r="E51" s="956"/>
      <c r="F51" s="926">
        <f t="shared" si="1"/>
        <v>0</v>
      </c>
      <c r="G51" s="944"/>
    </row>
    <row r="52" spans="1:7" ht="17.5">
      <c r="A52" s="969" t="s">
        <v>103</v>
      </c>
      <c r="B52" s="970" t="s">
        <v>104</v>
      </c>
      <c r="C52" s="954" t="s">
        <v>1438</v>
      </c>
      <c r="D52" s="971">
        <v>330</v>
      </c>
      <c r="E52" s="956"/>
      <c r="F52" s="926">
        <f t="shared" si="1"/>
        <v>0</v>
      </c>
      <c r="G52" s="952"/>
    </row>
    <row r="53" spans="1:7" ht="8.25" customHeight="1">
      <c r="A53" s="972"/>
      <c r="B53" s="970"/>
      <c r="C53" s="954"/>
      <c r="D53" s="971"/>
      <c r="E53" s="956"/>
      <c r="F53" s="926">
        <f t="shared" si="1"/>
        <v>0</v>
      </c>
      <c r="G53" s="944"/>
    </row>
    <row r="54" spans="1:7" ht="17.5">
      <c r="A54" s="969" t="s">
        <v>105</v>
      </c>
      <c r="B54" s="970" t="s">
        <v>106</v>
      </c>
      <c r="C54" s="954" t="s">
        <v>1438</v>
      </c>
      <c r="D54" s="971">
        <v>55</v>
      </c>
      <c r="E54" s="956"/>
      <c r="F54" s="926">
        <f t="shared" si="1"/>
        <v>0</v>
      </c>
      <c r="G54" s="952"/>
    </row>
    <row r="55" spans="1:7" ht="8.25" customHeight="1">
      <c r="A55" s="972"/>
      <c r="B55" s="970"/>
      <c r="C55" s="954"/>
      <c r="D55" s="971"/>
      <c r="E55" s="956"/>
      <c r="F55" s="926">
        <f t="shared" si="1"/>
        <v>0</v>
      </c>
      <c r="G55" s="944"/>
    </row>
    <row r="56" spans="1:7" ht="17.5">
      <c r="A56" s="969" t="s">
        <v>107</v>
      </c>
      <c r="B56" s="970" t="s">
        <v>108</v>
      </c>
      <c r="C56" s="954" t="s">
        <v>1438</v>
      </c>
      <c r="D56" s="971">
        <v>182</v>
      </c>
      <c r="E56" s="956"/>
      <c r="F56" s="926">
        <f t="shared" si="1"/>
        <v>0</v>
      </c>
      <c r="G56" s="952"/>
    </row>
    <row r="57" spans="1:7" ht="8.25" customHeight="1">
      <c r="A57" s="972"/>
      <c r="B57" s="970"/>
      <c r="C57" s="954"/>
      <c r="D57" s="971"/>
      <c r="E57" s="956"/>
      <c r="F57" s="926">
        <f t="shared" si="1"/>
        <v>0</v>
      </c>
      <c r="G57" s="944"/>
    </row>
    <row r="58" spans="1:7" s="947" customFormat="1" ht="17.5">
      <c r="A58" s="969" t="s">
        <v>109</v>
      </c>
      <c r="B58" s="970" t="s">
        <v>110</v>
      </c>
      <c r="C58" s="954" t="s">
        <v>1438</v>
      </c>
      <c r="D58" s="971">
        <v>18</v>
      </c>
      <c r="E58" s="956"/>
      <c r="F58" s="926">
        <f t="shared" si="1"/>
        <v>0</v>
      </c>
      <c r="G58" s="946"/>
    </row>
    <row r="59" spans="1:7" ht="8.25" customHeight="1">
      <c r="A59" s="972"/>
      <c r="B59" s="970"/>
      <c r="C59" s="954"/>
      <c r="D59" s="971"/>
      <c r="E59" s="956"/>
      <c r="F59" s="926">
        <f t="shared" si="1"/>
        <v>0</v>
      </c>
      <c r="G59" s="944"/>
    </row>
    <row r="60" spans="1:7" ht="17.5">
      <c r="A60" s="969" t="s">
        <v>111</v>
      </c>
      <c r="B60" s="970" t="s">
        <v>112</v>
      </c>
      <c r="C60" s="954" t="s">
        <v>1438</v>
      </c>
      <c r="D60" s="971">
        <v>14</v>
      </c>
      <c r="E60" s="956"/>
      <c r="F60" s="926">
        <f t="shared" si="1"/>
        <v>0</v>
      </c>
      <c r="G60" s="952"/>
    </row>
    <row r="61" spans="1:7" ht="8.25" customHeight="1">
      <c r="A61" s="972"/>
      <c r="B61" s="970"/>
      <c r="C61" s="954"/>
      <c r="D61" s="971"/>
      <c r="E61" s="956"/>
      <c r="F61" s="926">
        <f t="shared" si="1"/>
        <v>0</v>
      </c>
      <c r="G61" s="944"/>
    </row>
    <row r="62" spans="1:7" ht="17.5">
      <c r="A62" s="969" t="s">
        <v>113</v>
      </c>
      <c r="B62" s="970" t="s">
        <v>114</v>
      </c>
      <c r="C62" s="954" t="s">
        <v>1438</v>
      </c>
      <c r="D62" s="971">
        <v>1</v>
      </c>
      <c r="E62" s="956"/>
      <c r="F62" s="926">
        <f t="shared" si="1"/>
        <v>0</v>
      </c>
      <c r="G62" s="952"/>
    </row>
    <row r="63" spans="1:7" ht="8.25" customHeight="1">
      <c r="A63" s="972"/>
      <c r="B63" s="970"/>
      <c r="C63" s="954"/>
      <c r="D63" s="971"/>
      <c r="E63" s="956"/>
      <c r="F63" s="926">
        <f t="shared" si="1"/>
        <v>0</v>
      </c>
      <c r="G63" s="944"/>
    </row>
    <row r="64" spans="1:7" ht="14.25" customHeight="1">
      <c r="A64" s="969" t="s">
        <v>115</v>
      </c>
      <c r="B64" s="970" t="s">
        <v>116</v>
      </c>
      <c r="C64" s="954" t="s">
        <v>1438</v>
      </c>
      <c r="D64" s="971">
        <v>336</v>
      </c>
      <c r="E64" s="956"/>
      <c r="F64" s="926">
        <f t="shared" si="1"/>
        <v>0</v>
      </c>
      <c r="G64" s="952"/>
    </row>
    <row r="65" spans="1:7" ht="8.25" customHeight="1">
      <c r="A65" s="972"/>
      <c r="B65" s="970"/>
      <c r="C65" s="954"/>
      <c r="D65" s="971"/>
      <c r="E65" s="956"/>
      <c r="F65" s="926">
        <f t="shared" si="1"/>
        <v>0</v>
      </c>
      <c r="G65" s="944"/>
    </row>
    <row r="66" spans="1:7" ht="17.5">
      <c r="A66" s="969" t="s">
        <v>117</v>
      </c>
      <c r="B66" s="970" t="s">
        <v>118</v>
      </c>
      <c r="C66" s="954" t="s">
        <v>1438</v>
      </c>
      <c r="D66" s="971">
        <v>180</v>
      </c>
      <c r="E66" s="956"/>
      <c r="F66" s="926">
        <f t="shared" si="1"/>
        <v>0</v>
      </c>
      <c r="G66" s="952"/>
    </row>
    <row r="67" spans="1:7" ht="8.25" customHeight="1">
      <c r="A67" s="972"/>
      <c r="B67" s="970"/>
      <c r="C67" s="954"/>
      <c r="D67" s="971"/>
      <c r="E67" s="956"/>
      <c r="F67" s="926">
        <f t="shared" si="1"/>
        <v>0</v>
      </c>
      <c r="G67" s="944"/>
    </row>
    <row r="68" spans="1:7" ht="17.5">
      <c r="A68" s="974" t="s">
        <v>101</v>
      </c>
      <c r="B68" s="970" t="s">
        <v>119</v>
      </c>
      <c r="C68" s="954" t="s">
        <v>1438</v>
      </c>
      <c r="D68" s="971">
        <v>115</v>
      </c>
      <c r="E68" s="956"/>
      <c r="F68" s="926">
        <f t="shared" si="1"/>
        <v>0</v>
      </c>
      <c r="G68" s="952"/>
    </row>
    <row r="69" spans="1:7" ht="8.25" customHeight="1">
      <c r="A69" s="972"/>
      <c r="B69" s="970"/>
      <c r="C69" s="954"/>
      <c r="D69" s="971"/>
      <c r="E69" s="956"/>
      <c r="F69" s="926">
        <f t="shared" si="1"/>
        <v>0</v>
      </c>
      <c r="G69" s="944"/>
    </row>
    <row r="70" spans="1:7" ht="15.75" customHeight="1">
      <c r="A70" s="974" t="s">
        <v>244</v>
      </c>
      <c r="B70" s="970" t="s">
        <v>1189</v>
      </c>
      <c r="C70" s="954" t="s">
        <v>1438</v>
      </c>
      <c r="D70" s="971">
        <v>55</v>
      </c>
      <c r="E70" s="956"/>
      <c r="F70" s="926">
        <f t="shared" si="1"/>
        <v>0</v>
      </c>
      <c r="G70" s="952"/>
    </row>
    <row r="71" spans="1:7" ht="8.25" customHeight="1">
      <c r="A71" s="972"/>
      <c r="B71" s="970"/>
      <c r="C71" s="954"/>
      <c r="D71" s="971"/>
      <c r="E71" s="956"/>
      <c r="F71" s="926">
        <f t="shared" si="1"/>
        <v>0</v>
      </c>
      <c r="G71" s="944"/>
    </row>
    <row r="72" spans="1:7" ht="15" customHeight="1">
      <c r="A72" s="974" t="s">
        <v>120</v>
      </c>
      <c r="B72" s="970" t="s">
        <v>16</v>
      </c>
      <c r="C72" s="954" t="s">
        <v>1438</v>
      </c>
      <c r="D72" s="971">
        <v>100</v>
      </c>
      <c r="E72" s="956"/>
      <c r="F72" s="926">
        <f t="shared" si="1"/>
        <v>0</v>
      </c>
      <c r="G72" s="952"/>
    </row>
    <row r="73" spans="1:7" ht="8.25" customHeight="1">
      <c r="A73" s="972"/>
      <c r="B73" s="970"/>
      <c r="C73" s="954"/>
      <c r="D73" s="971"/>
      <c r="E73" s="956"/>
      <c r="F73" s="926">
        <f t="shared" si="1"/>
        <v>0</v>
      </c>
      <c r="G73" s="944"/>
    </row>
    <row r="74" spans="1:7" ht="17.5">
      <c r="A74" s="969" t="s">
        <v>121</v>
      </c>
      <c r="B74" s="970" t="s">
        <v>122</v>
      </c>
      <c r="C74" s="954" t="s">
        <v>1438</v>
      </c>
      <c r="D74" s="971">
        <v>1</v>
      </c>
      <c r="E74" s="956"/>
      <c r="F74" s="926">
        <f t="shared" si="1"/>
        <v>0</v>
      </c>
      <c r="G74" s="952"/>
    </row>
    <row r="75" spans="1:7" ht="8.25" customHeight="1">
      <c r="A75" s="972"/>
      <c r="B75" s="970"/>
      <c r="C75" s="954"/>
      <c r="D75" s="971"/>
      <c r="E75" s="956"/>
      <c r="F75" s="926">
        <f t="shared" si="1"/>
        <v>0</v>
      </c>
      <c r="G75" s="944"/>
    </row>
    <row r="76" spans="1:7" ht="14.25" customHeight="1">
      <c r="A76" s="969" t="s">
        <v>123</v>
      </c>
      <c r="B76" s="970" t="s">
        <v>124</v>
      </c>
      <c r="C76" s="954" t="s">
        <v>1438</v>
      </c>
      <c r="D76" s="971">
        <v>1</v>
      </c>
      <c r="E76" s="956"/>
      <c r="F76" s="926">
        <f t="shared" si="1"/>
        <v>0</v>
      </c>
      <c r="G76" s="952"/>
    </row>
    <row r="77" spans="1:7" ht="8.25" customHeight="1">
      <c r="A77" s="972"/>
      <c r="B77" s="970"/>
      <c r="C77" s="954"/>
      <c r="D77" s="971"/>
      <c r="E77" s="956"/>
      <c r="F77" s="926">
        <f t="shared" si="1"/>
        <v>0</v>
      </c>
      <c r="G77" s="944"/>
    </row>
    <row r="78" spans="1:7" ht="17.5">
      <c r="A78" s="969" t="s">
        <v>1188</v>
      </c>
      <c r="B78" s="970" t="s">
        <v>1187</v>
      </c>
      <c r="C78" s="954" t="s">
        <v>1438</v>
      </c>
      <c r="D78" s="971">
        <v>12</v>
      </c>
      <c r="E78" s="956"/>
      <c r="F78" s="926">
        <f t="shared" si="1"/>
        <v>0</v>
      </c>
      <c r="G78" s="952"/>
    </row>
    <row r="79" spans="1:7" ht="8.25" customHeight="1">
      <c r="A79" s="972"/>
      <c r="B79" s="970"/>
      <c r="C79" s="954"/>
      <c r="D79" s="971"/>
      <c r="E79" s="956"/>
      <c r="F79" s="926">
        <f t="shared" si="1"/>
        <v>0</v>
      </c>
      <c r="G79" s="944"/>
    </row>
    <row r="80" spans="1:7" s="947" customFormat="1" ht="17.5">
      <c r="A80" s="969" t="s">
        <v>1186</v>
      </c>
      <c r="B80" s="970" t="s">
        <v>125</v>
      </c>
      <c r="C80" s="954" t="s">
        <v>1438</v>
      </c>
      <c r="D80" s="971">
        <v>6</v>
      </c>
      <c r="E80" s="956"/>
      <c r="F80" s="926">
        <f>E80*D80</f>
        <v>0</v>
      </c>
      <c r="G80" s="946"/>
    </row>
    <row r="81" spans="1:7" ht="8.25" customHeight="1">
      <c r="A81" s="972"/>
      <c r="B81" s="970"/>
      <c r="C81" s="954"/>
      <c r="D81" s="971"/>
      <c r="E81" s="956"/>
      <c r="F81" s="926">
        <f>E81*D81</f>
        <v>0</v>
      </c>
      <c r="G81" s="944"/>
    </row>
    <row r="82" spans="1:7" ht="8.25" customHeight="1">
      <c r="A82" s="972"/>
      <c r="B82" s="970"/>
      <c r="C82" s="954"/>
      <c r="D82" s="971"/>
      <c r="E82" s="956"/>
      <c r="F82" s="926"/>
      <c r="G82" s="944"/>
    </row>
    <row r="83" spans="1:7" ht="8.25" customHeight="1">
      <c r="A83" s="972"/>
      <c r="B83" s="970"/>
      <c r="C83" s="954"/>
      <c r="D83" s="971"/>
      <c r="E83" s="956"/>
      <c r="F83" s="926"/>
      <c r="G83" s="944"/>
    </row>
    <row r="84" spans="1:7" ht="8.25" customHeight="1">
      <c r="A84" s="972"/>
      <c r="B84" s="970"/>
      <c r="C84" s="954"/>
      <c r="D84" s="971"/>
      <c r="E84" s="956"/>
      <c r="F84" s="926"/>
      <c r="G84" s="944"/>
    </row>
    <row r="85" spans="1:7" ht="8.25" customHeight="1">
      <c r="A85" s="972"/>
      <c r="B85" s="970"/>
      <c r="C85" s="954"/>
      <c r="D85" s="971"/>
      <c r="E85" s="956"/>
      <c r="F85" s="926"/>
      <c r="G85" s="944"/>
    </row>
    <row r="86" spans="1:7" ht="8.25" customHeight="1">
      <c r="A86" s="972"/>
      <c r="B86" s="970"/>
      <c r="C86" s="954"/>
      <c r="D86" s="971"/>
      <c r="E86" s="956"/>
      <c r="F86" s="926"/>
      <c r="G86" s="944"/>
    </row>
    <row r="87" spans="1:7" ht="8.25" customHeight="1">
      <c r="A87" s="972"/>
      <c r="B87" s="970"/>
      <c r="C87" s="954"/>
      <c r="D87" s="971"/>
      <c r="E87" s="956"/>
      <c r="F87" s="926"/>
      <c r="G87" s="944"/>
    </row>
    <row r="88" spans="1:7" ht="8.25" customHeight="1">
      <c r="A88" s="972"/>
      <c r="B88" s="970"/>
      <c r="C88" s="954"/>
      <c r="D88" s="971"/>
      <c r="E88" s="956"/>
      <c r="F88" s="926"/>
      <c r="G88" s="944"/>
    </row>
    <row r="89" spans="1:7" ht="8.25" customHeight="1">
      <c r="A89" s="972"/>
      <c r="B89" s="970"/>
      <c r="C89" s="954"/>
      <c r="D89" s="971"/>
      <c r="E89" s="956"/>
      <c r="F89" s="926"/>
      <c r="G89" s="944"/>
    </row>
    <row r="90" spans="1:7" ht="8.25" customHeight="1">
      <c r="A90" s="972"/>
      <c r="B90" s="970"/>
      <c r="C90" s="954"/>
      <c r="D90" s="971"/>
      <c r="E90" s="956"/>
      <c r="F90" s="926"/>
      <c r="G90" s="944"/>
    </row>
    <row r="91" spans="1:7" ht="8.25" customHeight="1">
      <c r="A91" s="972"/>
      <c r="B91" s="970"/>
      <c r="C91" s="954"/>
      <c r="D91" s="971"/>
      <c r="E91" s="956"/>
      <c r="F91" s="926"/>
      <c r="G91" s="944"/>
    </row>
    <row r="92" spans="1:7" ht="8.25" customHeight="1">
      <c r="A92" s="972"/>
      <c r="B92" s="970"/>
      <c r="C92" s="954"/>
      <c r="D92" s="971"/>
      <c r="E92" s="956"/>
      <c r="F92" s="926"/>
      <c r="G92" s="944"/>
    </row>
    <row r="93" spans="1:7" ht="8.25" customHeight="1">
      <c r="A93" s="972"/>
      <c r="B93" s="970"/>
      <c r="C93" s="954"/>
      <c r="D93" s="971"/>
      <c r="E93" s="956"/>
      <c r="F93" s="926"/>
      <c r="G93" s="944"/>
    </row>
    <row r="94" spans="1:7" ht="8.25" customHeight="1">
      <c r="A94" s="972"/>
      <c r="B94" s="970"/>
      <c r="C94" s="954"/>
      <c r="D94" s="971"/>
      <c r="E94" s="956"/>
      <c r="F94" s="926"/>
      <c r="G94" s="944"/>
    </row>
    <row r="95" spans="1:7" ht="8.25" customHeight="1">
      <c r="A95" s="972"/>
      <c r="B95" s="970"/>
      <c r="C95" s="954"/>
      <c r="D95" s="971"/>
      <c r="E95" s="956"/>
      <c r="F95" s="926"/>
      <c r="G95" s="944"/>
    </row>
    <row r="96" spans="1:7" ht="8.25" customHeight="1">
      <c r="A96" s="972"/>
      <c r="B96" s="970"/>
      <c r="C96" s="954"/>
      <c r="D96" s="971"/>
      <c r="E96" s="956"/>
      <c r="F96" s="926"/>
      <c r="G96" s="944"/>
    </row>
    <row r="97" spans="1:7" ht="8.25" customHeight="1">
      <c r="A97" s="972"/>
      <c r="B97" s="970"/>
      <c r="C97" s="954"/>
      <c r="D97" s="971"/>
      <c r="E97" s="956"/>
      <c r="F97" s="926"/>
      <c r="G97" s="944"/>
    </row>
    <row r="98" spans="1:7" ht="8.25" customHeight="1">
      <c r="A98" s="972"/>
      <c r="B98" s="970"/>
      <c r="C98" s="954"/>
      <c r="D98" s="971"/>
      <c r="E98" s="956"/>
      <c r="F98" s="926"/>
      <c r="G98" s="944"/>
    </row>
    <row r="99" spans="1:7" ht="8.25" customHeight="1">
      <c r="A99" s="972"/>
      <c r="B99" s="970"/>
      <c r="C99" s="954"/>
      <c r="D99" s="971"/>
      <c r="E99" s="956"/>
      <c r="F99" s="926"/>
      <c r="G99" s="944"/>
    </row>
    <row r="100" spans="1:7" ht="8.25" customHeight="1">
      <c r="A100" s="972"/>
      <c r="B100" s="970"/>
      <c r="C100" s="954"/>
      <c r="D100" s="971"/>
      <c r="E100" s="956"/>
      <c r="F100" s="926"/>
      <c r="G100" s="944"/>
    </row>
    <row r="101" spans="1:7" ht="8.25" customHeight="1">
      <c r="A101" s="972"/>
      <c r="B101" s="970"/>
      <c r="C101" s="954"/>
      <c r="D101" s="971"/>
      <c r="E101" s="956"/>
      <c r="F101" s="926"/>
      <c r="G101" s="944"/>
    </row>
    <row r="102" spans="1:7" ht="8.25" customHeight="1">
      <c r="A102" s="972"/>
      <c r="B102" s="970"/>
      <c r="C102" s="954"/>
      <c r="D102" s="971"/>
      <c r="E102" s="956"/>
      <c r="F102" s="926"/>
      <c r="G102" s="944"/>
    </row>
    <row r="103" spans="1:7" ht="8.25" customHeight="1">
      <c r="A103" s="972"/>
      <c r="B103" s="970"/>
      <c r="C103" s="954"/>
      <c r="D103" s="971"/>
      <c r="E103" s="956"/>
      <c r="F103" s="926"/>
      <c r="G103" s="944"/>
    </row>
    <row r="104" spans="1:7" ht="16" thickBot="1">
      <c r="A104" s="1562" t="s">
        <v>966</v>
      </c>
      <c r="B104" s="1563"/>
      <c r="C104" s="1563"/>
      <c r="D104" s="1563"/>
      <c r="E104" s="1564"/>
      <c r="F104" s="976">
        <f>SUM(F38:F103)</f>
        <v>0</v>
      </c>
      <c r="G104" s="944"/>
    </row>
    <row r="105" spans="1:7" ht="8.25" customHeight="1" thickTop="1">
      <c r="A105" s="972"/>
      <c r="B105" s="970"/>
      <c r="C105" s="954"/>
      <c r="D105" s="971"/>
      <c r="E105" s="956"/>
      <c r="F105" s="926"/>
      <c r="G105" s="944"/>
    </row>
    <row r="106" spans="1:7">
      <c r="A106" s="921">
        <v>1.4</v>
      </c>
      <c r="B106" s="922" t="s">
        <v>29</v>
      </c>
      <c r="C106" s="923"/>
      <c r="D106" s="971"/>
      <c r="E106" s="925"/>
      <c r="F106" s="926">
        <f t="shared" ref="F106:F120" si="2">E106*D106</f>
        <v>0</v>
      </c>
      <c r="G106" s="952"/>
    </row>
    <row r="107" spans="1:7" ht="8.25" customHeight="1">
      <c r="A107" s="972"/>
      <c r="B107" s="970"/>
      <c r="C107" s="954"/>
      <c r="D107" s="971"/>
      <c r="E107" s="956"/>
      <c r="F107" s="926">
        <f t="shared" si="2"/>
        <v>0</v>
      </c>
      <c r="G107" s="944"/>
    </row>
    <row r="108" spans="1:7" s="947" customFormat="1" ht="46.5">
      <c r="A108" s="969"/>
      <c r="B108" s="978" t="s">
        <v>126</v>
      </c>
      <c r="C108" s="954"/>
      <c r="D108" s="971"/>
      <c r="E108" s="956"/>
      <c r="F108" s="926">
        <f t="shared" si="2"/>
        <v>0</v>
      </c>
      <c r="G108" s="946"/>
    </row>
    <row r="109" spans="1:7" ht="8.25" customHeight="1">
      <c r="A109" s="972"/>
      <c r="B109" s="970"/>
      <c r="C109" s="954"/>
      <c r="D109" s="971"/>
      <c r="E109" s="956"/>
      <c r="F109" s="926">
        <f t="shared" si="2"/>
        <v>0</v>
      </c>
      <c r="G109" s="944"/>
    </row>
    <row r="110" spans="1:7" ht="15" customHeight="1">
      <c r="A110" s="969" t="s">
        <v>127</v>
      </c>
      <c r="B110" s="970" t="s">
        <v>128</v>
      </c>
      <c r="C110" s="954" t="s">
        <v>23</v>
      </c>
      <c r="D110" s="955">
        <v>210900</v>
      </c>
      <c r="E110" s="956"/>
      <c r="F110" s="926">
        <f t="shared" si="2"/>
        <v>0</v>
      </c>
      <c r="G110" s="952"/>
    </row>
    <row r="111" spans="1:7" ht="8.25" customHeight="1">
      <c r="A111" s="972"/>
      <c r="B111" s="970"/>
      <c r="C111" s="954"/>
      <c r="D111" s="971"/>
      <c r="E111" s="956"/>
      <c r="F111" s="926">
        <f t="shared" si="2"/>
        <v>0</v>
      </c>
      <c r="G111" s="944"/>
    </row>
    <row r="112" spans="1:7" ht="33">
      <c r="A112" s="969" t="s">
        <v>129</v>
      </c>
      <c r="B112" s="970" t="s">
        <v>1478</v>
      </c>
      <c r="C112" s="954" t="s">
        <v>1477</v>
      </c>
      <c r="D112" s="955">
        <v>910</v>
      </c>
      <c r="E112" s="956"/>
      <c r="F112" s="926">
        <f t="shared" si="2"/>
        <v>0</v>
      </c>
      <c r="G112" s="952"/>
    </row>
    <row r="113" spans="1:7" ht="8.25" customHeight="1">
      <c r="A113" s="972"/>
      <c r="B113" s="970"/>
      <c r="C113" s="954"/>
      <c r="D113" s="971"/>
      <c r="E113" s="956"/>
      <c r="F113" s="926">
        <f t="shared" si="2"/>
        <v>0</v>
      </c>
      <c r="G113" s="944"/>
    </row>
    <row r="114" spans="1:7">
      <c r="A114" s="921">
        <v>1.5</v>
      </c>
      <c r="B114" s="922" t="s">
        <v>68</v>
      </c>
      <c r="C114" s="923"/>
      <c r="D114" s="971"/>
      <c r="E114" s="925"/>
      <c r="F114" s="926">
        <f t="shared" si="2"/>
        <v>0</v>
      </c>
      <c r="G114" s="952"/>
    </row>
    <row r="115" spans="1:7" ht="8.25" customHeight="1">
      <c r="A115" s="972"/>
      <c r="B115" s="970"/>
      <c r="C115" s="954"/>
      <c r="D115" s="971"/>
      <c r="E115" s="956"/>
      <c r="F115" s="926">
        <f t="shared" si="2"/>
        <v>0</v>
      </c>
      <c r="G115" s="944"/>
    </row>
    <row r="116" spans="1:7" ht="55.25" customHeight="1">
      <c r="A116" s="969"/>
      <c r="B116" s="979" t="s">
        <v>130</v>
      </c>
      <c r="C116" s="954"/>
      <c r="D116" s="971"/>
      <c r="E116" s="956"/>
      <c r="F116" s="926">
        <f t="shared" si="2"/>
        <v>0</v>
      </c>
      <c r="G116" s="952"/>
    </row>
    <row r="117" spans="1:7" ht="8.25" customHeight="1">
      <c r="A117" s="972"/>
      <c r="B117" s="970"/>
      <c r="C117" s="954"/>
      <c r="D117" s="971"/>
      <c r="E117" s="956"/>
      <c r="F117" s="926">
        <f t="shared" si="2"/>
        <v>0</v>
      </c>
      <c r="G117" s="944"/>
    </row>
    <row r="118" spans="1:7" ht="15" customHeight="1">
      <c r="A118" s="969"/>
      <c r="B118" s="977" t="s">
        <v>1185</v>
      </c>
      <c r="C118" s="954"/>
      <c r="D118" s="971"/>
      <c r="E118" s="956"/>
      <c r="F118" s="926">
        <f t="shared" si="2"/>
        <v>0</v>
      </c>
      <c r="G118" s="952"/>
    </row>
    <row r="119" spans="1:7" ht="8.25" customHeight="1">
      <c r="A119" s="972"/>
      <c r="B119" s="970"/>
      <c r="C119" s="954"/>
      <c r="D119" s="971"/>
      <c r="E119" s="956"/>
      <c r="F119" s="926">
        <f t="shared" si="2"/>
        <v>0</v>
      </c>
      <c r="G119" s="944"/>
    </row>
    <row r="120" spans="1:7" ht="15" customHeight="1">
      <c r="A120" s="969" t="s">
        <v>131</v>
      </c>
      <c r="B120" s="970" t="s">
        <v>132</v>
      </c>
      <c r="C120" s="954" t="s">
        <v>9</v>
      </c>
      <c r="D120" s="971">
        <v>170</v>
      </c>
      <c r="E120" s="956"/>
      <c r="F120" s="926">
        <f t="shared" si="2"/>
        <v>0</v>
      </c>
      <c r="G120" s="952"/>
    </row>
    <row r="121" spans="1:7" ht="8.25" customHeight="1">
      <c r="A121" s="972"/>
      <c r="B121" s="1103"/>
      <c r="C121" s="1104"/>
      <c r="D121" s="1105"/>
      <c r="E121" s="1106"/>
      <c r="F121" s="975"/>
      <c r="G121" s="944"/>
    </row>
    <row r="122" spans="1:7" ht="15" customHeight="1">
      <c r="A122" s="1102" t="s">
        <v>1184</v>
      </c>
      <c r="B122" s="970" t="s">
        <v>133</v>
      </c>
      <c r="C122" s="954" t="s">
        <v>1477</v>
      </c>
      <c r="D122" s="971">
        <v>305</v>
      </c>
      <c r="E122" s="956"/>
      <c r="F122" s="926">
        <f>E122*D122</f>
        <v>0</v>
      </c>
      <c r="G122" s="952"/>
    </row>
    <row r="123" spans="1:7" ht="8.25" customHeight="1">
      <c r="A123" s="972"/>
      <c r="B123" s="970"/>
      <c r="C123" s="954"/>
      <c r="D123" s="971"/>
      <c r="E123" s="956"/>
      <c r="F123" s="926"/>
      <c r="G123" s="944"/>
    </row>
    <row r="124" spans="1:7" ht="17.5">
      <c r="A124" s="969" t="s">
        <v>1183</v>
      </c>
      <c r="B124" s="970" t="s">
        <v>134</v>
      </c>
      <c r="C124" s="954" t="s">
        <v>1477</v>
      </c>
      <c r="D124" s="971">
        <v>6</v>
      </c>
      <c r="E124" s="956"/>
      <c r="F124" s="926">
        <f t="shared" ref="F124:F160" si="3">E124*D124</f>
        <v>0</v>
      </c>
      <c r="G124" s="952"/>
    </row>
    <row r="125" spans="1:7" ht="8.25" customHeight="1">
      <c r="A125" s="972"/>
      <c r="B125" s="970"/>
      <c r="C125" s="954"/>
      <c r="D125" s="971"/>
      <c r="E125" s="956"/>
      <c r="F125" s="926">
        <f t="shared" si="3"/>
        <v>0</v>
      </c>
      <c r="G125" s="944"/>
    </row>
    <row r="126" spans="1:7">
      <c r="A126" s="969"/>
      <c r="B126" s="977" t="s">
        <v>1182</v>
      </c>
      <c r="C126" s="954"/>
      <c r="D126" s="971"/>
      <c r="E126" s="956"/>
      <c r="F126" s="926">
        <f t="shared" si="3"/>
        <v>0</v>
      </c>
      <c r="G126" s="952"/>
    </row>
    <row r="127" spans="1:7" ht="8.25" customHeight="1">
      <c r="A127" s="972"/>
      <c r="B127" s="970"/>
      <c r="C127" s="954"/>
      <c r="D127" s="971"/>
      <c r="E127" s="956"/>
      <c r="F127" s="926">
        <f t="shared" si="3"/>
        <v>0</v>
      </c>
      <c r="G127" s="944"/>
    </row>
    <row r="128" spans="1:7" ht="16.5" customHeight="1">
      <c r="A128" s="972" t="s">
        <v>1181</v>
      </c>
      <c r="B128" s="970" t="s">
        <v>135</v>
      </c>
      <c r="C128" s="954" t="s">
        <v>1477</v>
      </c>
      <c r="D128" s="971">
        <v>4</v>
      </c>
      <c r="E128" s="956"/>
      <c r="F128" s="926">
        <f t="shared" si="3"/>
        <v>0</v>
      </c>
      <c r="G128" s="952"/>
    </row>
    <row r="129" spans="1:7" ht="8.25" customHeight="1">
      <c r="A129" s="972"/>
      <c r="B129" s="970"/>
      <c r="C129" s="954"/>
      <c r="D129" s="971"/>
      <c r="E129" s="956"/>
      <c r="F129" s="926">
        <f t="shared" si="3"/>
        <v>0</v>
      </c>
      <c r="G129" s="944"/>
    </row>
    <row r="130" spans="1:7" ht="31">
      <c r="A130" s="969" t="s">
        <v>136</v>
      </c>
      <c r="B130" s="970" t="s">
        <v>137</v>
      </c>
      <c r="C130" s="954" t="s">
        <v>1477</v>
      </c>
      <c r="D130" s="971">
        <v>18</v>
      </c>
      <c r="E130" s="956"/>
      <c r="F130" s="926">
        <f t="shared" si="3"/>
        <v>0</v>
      </c>
      <c r="G130" s="952"/>
    </row>
    <row r="131" spans="1:7" ht="8.25" customHeight="1">
      <c r="A131" s="972"/>
      <c r="B131" s="970"/>
      <c r="C131" s="954"/>
      <c r="D131" s="971"/>
      <c r="E131" s="956"/>
      <c r="F131" s="926">
        <f t="shared" si="3"/>
        <v>0</v>
      </c>
      <c r="G131" s="944"/>
    </row>
    <row r="132" spans="1:7" ht="17.5">
      <c r="A132" s="972" t="s">
        <v>138</v>
      </c>
      <c r="B132" s="970" t="s">
        <v>139</v>
      </c>
      <c r="C132" s="954" t="s">
        <v>1477</v>
      </c>
      <c r="D132" s="971">
        <v>35</v>
      </c>
      <c r="E132" s="956"/>
      <c r="F132" s="926">
        <f t="shared" si="3"/>
        <v>0</v>
      </c>
      <c r="G132" s="952"/>
    </row>
    <row r="133" spans="1:7" ht="8.25" customHeight="1">
      <c r="A133" s="972"/>
      <c r="B133" s="970"/>
      <c r="C133" s="954"/>
      <c r="D133" s="971"/>
      <c r="E133" s="956"/>
      <c r="F133" s="926">
        <f t="shared" si="3"/>
        <v>0</v>
      </c>
      <c r="G133" s="944"/>
    </row>
    <row r="134" spans="1:7" ht="17.5">
      <c r="A134" s="972" t="s">
        <v>1180</v>
      </c>
      <c r="B134" s="970" t="s">
        <v>140</v>
      </c>
      <c r="C134" s="954" t="s">
        <v>1477</v>
      </c>
      <c r="D134" s="971">
        <v>11</v>
      </c>
      <c r="E134" s="956"/>
      <c r="F134" s="926">
        <f t="shared" si="3"/>
        <v>0</v>
      </c>
      <c r="G134" s="952"/>
    </row>
    <row r="135" spans="1:7" ht="8.25" customHeight="1">
      <c r="A135" s="972"/>
      <c r="B135" s="970"/>
      <c r="C135" s="954"/>
      <c r="D135" s="971"/>
      <c r="E135" s="956"/>
      <c r="F135" s="926">
        <f t="shared" si="3"/>
        <v>0</v>
      </c>
      <c r="G135" s="944"/>
    </row>
    <row r="136" spans="1:7" ht="31">
      <c r="A136" s="969" t="s">
        <v>1179</v>
      </c>
      <c r="B136" s="970" t="s">
        <v>141</v>
      </c>
      <c r="C136" s="954" t="s">
        <v>1477</v>
      </c>
      <c r="D136" s="971">
        <v>22</v>
      </c>
      <c r="E136" s="956"/>
      <c r="F136" s="926">
        <f t="shared" si="3"/>
        <v>0</v>
      </c>
      <c r="G136" s="952"/>
    </row>
    <row r="137" spans="1:7" ht="8.25" customHeight="1">
      <c r="A137" s="972"/>
      <c r="B137" s="970"/>
      <c r="C137" s="954"/>
      <c r="D137" s="971"/>
      <c r="E137" s="956"/>
      <c r="F137" s="926">
        <f t="shared" si="3"/>
        <v>0</v>
      </c>
      <c r="G137" s="944"/>
    </row>
    <row r="138" spans="1:7" ht="31">
      <c r="A138" s="969" t="s">
        <v>1178</v>
      </c>
      <c r="B138" s="970" t="s">
        <v>142</v>
      </c>
      <c r="C138" s="954" t="s">
        <v>1477</v>
      </c>
      <c r="D138" s="971">
        <v>50</v>
      </c>
      <c r="E138" s="956"/>
      <c r="F138" s="926">
        <f t="shared" si="3"/>
        <v>0</v>
      </c>
      <c r="G138" s="952"/>
    </row>
    <row r="139" spans="1:7" ht="8.25" customHeight="1">
      <c r="A139" s="972"/>
      <c r="B139" s="970"/>
      <c r="C139" s="954"/>
      <c r="D139" s="971"/>
      <c r="E139" s="956"/>
      <c r="F139" s="926">
        <f t="shared" si="3"/>
        <v>0</v>
      </c>
      <c r="G139" s="944"/>
    </row>
    <row r="140" spans="1:7" ht="31">
      <c r="A140" s="974" t="s">
        <v>1177</v>
      </c>
      <c r="B140" s="970" t="s">
        <v>143</v>
      </c>
      <c r="C140" s="954" t="s">
        <v>1477</v>
      </c>
      <c r="D140" s="971">
        <v>95</v>
      </c>
      <c r="E140" s="956"/>
      <c r="F140" s="926">
        <f t="shared" si="3"/>
        <v>0</v>
      </c>
      <c r="G140" s="952"/>
    </row>
    <row r="141" spans="1:7" ht="8.25" customHeight="1">
      <c r="A141" s="972"/>
      <c r="B141" s="970"/>
      <c r="C141" s="954"/>
      <c r="D141" s="971"/>
      <c r="E141" s="956"/>
      <c r="F141" s="926">
        <f t="shared" si="3"/>
        <v>0</v>
      </c>
      <c r="G141" s="944"/>
    </row>
    <row r="142" spans="1:7" ht="17.5">
      <c r="A142" s="969" t="s">
        <v>1176</v>
      </c>
      <c r="B142" s="970" t="s">
        <v>144</v>
      </c>
      <c r="C142" s="954" t="s">
        <v>1477</v>
      </c>
      <c r="D142" s="971">
        <v>800</v>
      </c>
      <c r="E142" s="956"/>
      <c r="F142" s="926">
        <f t="shared" si="3"/>
        <v>0</v>
      </c>
      <c r="G142" s="952"/>
    </row>
    <row r="143" spans="1:7" ht="8.25" customHeight="1">
      <c r="A143" s="972"/>
      <c r="B143" s="970"/>
      <c r="C143" s="954"/>
      <c r="D143" s="971"/>
      <c r="E143" s="956"/>
      <c r="F143" s="926">
        <f t="shared" si="3"/>
        <v>0</v>
      </c>
      <c r="G143" s="944"/>
    </row>
    <row r="144" spans="1:7" ht="31">
      <c r="A144" s="969" t="s">
        <v>1175</v>
      </c>
      <c r="B144" s="970" t="s">
        <v>145</v>
      </c>
      <c r="C144" s="954" t="s">
        <v>1477</v>
      </c>
      <c r="D144" s="971">
        <v>800</v>
      </c>
      <c r="E144" s="956"/>
      <c r="F144" s="926">
        <f t="shared" si="3"/>
        <v>0</v>
      </c>
      <c r="G144" s="952"/>
    </row>
    <row r="145" spans="1:7" ht="8.25" customHeight="1">
      <c r="A145" s="972"/>
      <c r="B145" s="970"/>
      <c r="C145" s="954"/>
      <c r="D145" s="971"/>
      <c r="E145" s="956"/>
      <c r="F145" s="926">
        <f t="shared" si="3"/>
        <v>0</v>
      </c>
      <c r="G145" s="944"/>
    </row>
    <row r="146" spans="1:7" ht="17.5">
      <c r="A146" s="969" t="s">
        <v>1174</v>
      </c>
      <c r="B146" s="970" t="s">
        <v>146</v>
      </c>
      <c r="C146" s="954" t="s">
        <v>1477</v>
      </c>
      <c r="D146" s="971">
        <v>340</v>
      </c>
      <c r="E146" s="956"/>
      <c r="F146" s="926">
        <f t="shared" si="3"/>
        <v>0</v>
      </c>
      <c r="G146" s="952"/>
    </row>
    <row r="147" spans="1:7" ht="8.25" customHeight="1">
      <c r="A147" s="972"/>
      <c r="B147" s="970"/>
      <c r="C147" s="954"/>
      <c r="D147" s="971"/>
      <c r="E147" s="956"/>
      <c r="F147" s="926">
        <f t="shared" si="3"/>
        <v>0</v>
      </c>
      <c r="G147" s="944"/>
    </row>
    <row r="148" spans="1:7" ht="17.5">
      <c r="A148" s="974" t="s">
        <v>1173</v>
      </c>
      <c r="B148" s="970" t="s">
        <v>147</v>
      </c>
      <c r="C148" s="954" t="s">
        <v>1477</v>
      </c>
      <c r="D148" s="971">
        <v>1010</v>
      </c>
      <c r="E148" s="956"/>
      <c r="F148" s="926">
        <f t="shared" si="3"/>
        <v>0</v>
      </c>
      <c r="G148" s="952"/>
    </row>
    <row r="149" spans="1:7" ht="8.25" customHeight="1">
      <c r="A149" s="972"/>
      <c r="B149" s="970"/>
      <c r="C149" s="954"/>
      <c r="D149" s="971"/>
      <c r="E149" s="956"/>
      <c r="F149" s="926">
        <f t="shared" si="3"/>
        <v>0</v>
      </c>
      <c r="G149" s="944"/>
    </row>
    <row r="150" spans="1:7">
      <c r="A150" s="974" t="s">
        <v>1172</v>
      </c>
      <c r="B150" s="970" t="s">
        <v>148</v>
      </c>
      <c r="C150" s="954" t="s">
        <v>9</v>
      </c>
      <c r="D150" s="971">
        <v>150</v>
      </c>
      <c r="E150" s="956"/>
      <c r="F150" s="926">
        <f t="shared" si="3"/>
        <v>0</v>
      </c>
      <c r="G150" s="952"/>
    </row>
    <row r="151" spans="1:7" ht="8.25" customHeight="1">
      <c r="A151" s="972"/>
      <c r="B151" s="970"/>
      <c r="C151" s="954"/>
      <c r="D151" s="971"/>
      <c r="E151" s="956"/>
      <c r="F151" s="926">
        <f t="shared" si="3"/>
        <v>0</v>
      </c>
      <c r="G151" s="944"/>
    </row>
    <row r="152" spans="1:7" ht="15" customHeight="1">
      <c r="A152" s="969" t="s">
        <v>1171</v>
      </c>
      <c r="B152" s="970" t="s">
        <v>149</v>
      </c>
      <c r="C152" s="954" t="s">
        <v>9</v>
      </c>
      <c r="D152" s="971">
        <v>100</v>
      </c>
      <c r="E152" s="956"/>
      <c r="F152" s="926">
        <f t="shared" si="3"/>
        <v>0</v>
      </c>
      <c r="G152" s="952"/>
    </row>
    <row r="153" spans="1:7" ht="8.25" customHeight="1">
      <c r="A153" s="972"/>
      <c r="B153" s="970"/>
      <c r="C153" s="954"/>
      <c r="D153" s="971"/>
      <c r="E153" s="956"/>
      <c r="F153" s="926">
        <f t="shared" si="3"/>
        <v>0</v>
      </c>
      <c r="G153" s="944"/>
    </row>
    <row r="154" spans="1:7" ht="8.25" customHeight="1">
      <c r="A154" s="972"/>
      <c r="B154" s="970"/>
      <c r="C154" s="954"/>
      <c r="D154" s="971"/>
      <c r="E154" s="956"/>
      <c r="F154" s="926"/>
      <c r="G154" s="944"/>
    </row>
    <row r="155" spans="1:7" ht="8.25" customHeight="1">
      <c r="A155" s="972"/>
      <c r="B155" s="970"/>
      <c r="C155" s="954"/>
      <c r="D155" s="971"/>
      <c r="E155" s="956"/>
      <c r="F155" s="926"/>
      <c r="G155" s="944"/>
    </row>
    <row r="156" spans="1:7" ht="8.25" customHeight="1">
      <c r="A156" s="972"/>
      <c r="B156" s="970"/>
      <c r="C156" s="954"/>
      <c r="D156" s="971"/>
      <c r="E156" s="956"/>
      <c r="F156" s="926"/>
      <c r="G156" s="944"/>
    </row>
    <row r="157" spans="1:7" ht="16" thickBot="1">
      <c r="A157" s="1562" t="s">
        <v>966</v>
      </c>
      <c r="B157" s="1563"/>
      <c r="C157" s="1563"/>
      <c r="D157" s="1563"/>
      <c r="E157" s="1564"/>
      <c r="F157" s="976">
        <f>SUM(F109:F152)</f>
        <v>0</v>
      </c>
      <c r="G157" s="944"/>
    </row>
    <row r="158" spans="1:7" ht="11.4" customHeight="1" thickTop="1">
      <c r="A158" s="1107"/>
      <c r="B158" s="1111"/>
      <c r="C158" s="1108"/>
      <c r="D158" s="1110"/>
      <c r="E158" s="1111"/>
      <c r="F158" s="1109"/>
      <c r="G158" s="944"/>
    </row>
    <row r="159" spans="1:7">
      <c r="A159" s="969" t="s">
        <v>1170</v>
      </c>
      <c r="B159" s="970" t="s">
        <v>150</v>
      </c>
      <c r="C159" s="954" t="s">
        <v>9</v>
      </c>
      <c r="D159" s="971">
        <v>150</v>
      </c>
      <c r="E159" s="956"/>
      <c r="F159" s="926">
        <f t="shared" si="3"/>
        <v>0</v>
      </c>
      <c r="G159" s="952"/>
    </row>
    <row r="160" spans="1:7" ht="8.25" customHeight="1">
      <c r="A160" s="972"/>
      <c r="B160" s="970"/>
      <c r="C160" s="954"/>
      <c r="D160" s="971"/>
      <c r="E160" s="956"/>
      <c r="F160" s="926">
        <f t="shared" si="3"/>
        <v>0</v>
      </c>
      <c r="G160" s="944"/>
    </row>
    <row r="161" spans="1:7">
      <c r="A161" s="969" t="s">
        <v>1169</v>
      </c>
      <c r="B161" s="970" t="s">
        <v>151</v>
      </c>
      <c r="C161" s="954" t="s">
        <v>9</v>
      </c>
      <c r="D161" s="971">
        <v>200</v>
      </c>
      <c r="E161" s="956"/>
      <c r="F161" s="926">
        <f t="shared" ref="F161:F181" si="4">E161*D161</f>
        <v>0</v>
      </c>
      <c r="G161" s="980"/>
    </row>
    <row r="162" spans="1:7" ht="8.25" customHeight="1">
      <c r="A162" s="972"/>
      <c r="B162" s="970"/>
      <c r="C162" s="954"/>
      <c r="D162" s="971"/>
      <c r="E162" s="956"/>
      <c r="F162" s="926">
        <f t="shared" si="4"/>
        <v>0</v>
      </c>
      <c r="G162" s="944"/>
    </row>
    <row r="163" spans="1:7">
      <c r="A163" s="969"/>
      <c r="B163" s="977" t="s">
        <v>1168</v>
      </c>
      <c r="C163" s="954"/>
      <c r="D163" s="971"/>
      <c r="E163" s="956"/>
      <c r="F163" s="926">
        <f t="shared" si="4"/>
        <v>0</v>
      </c>
      <c r="G163" s="952"/>
    </row>
    <row r="164" spans="1:7" ht="8.25" customHeight="1">
      <c r="A164" s="972"/>
      <c r="B164" s="970"/>
      <c r="C164" s="954"/>
      <c r="D164" s="971"/>
      <c r="E164" s="956"/>
      <c r="F164" s="926">
        <f t="shared" si="4"/>
        <v>0</v>
      </c>
      <c r="G164" s="944"/>
    </row>
    <row r="165" spans="1:7" ht="15" customHeight="1">
      <c r="A165" s="974" t="s">
        <v>1167</v>
      </c>
      <c r="B165" s="970" t="s">
        <v>152</v>
      </c>
      <c r="C165" s="954" t="s">
        <v>1477</v>
      </c>
      <c r="D165" s="971">
        <v>4</v>
      </c>
      <c r="E165" s="956"/>
      <c r="F165" s="926">
        <f t="shared" si="4"/>
        <v>0</v>
      </c>
      <c r="G165" s="952"/>
    </row>
    <row r="166" spans="1:7" ht="8.25" customHeight="1">
      <c r="A166" s="972"/>
      <c r="B166" s="970"/>
      <c r="C166" s="954"/>
      <c r="D166" s="971"/>
      <c r="E166" s="956"/>
      <c r="F166" s="926">
        <f t="shared" si="4"/>
        <v>0</v>
      </c>
      <c r="G166" s="944"/>
    </row>
    <row r="167" spans="1:7" ht="17.5">
      <c r="A167" s="974" t="s">
        <v>1166</v>
      </c>
      <c r="B167" s="970" t="s">
        <v>1165</v>
      </c>
      <c r="C167" s="954" t="s">
        <v>1477</v>
      </c>
      <c r="D167" s="971">
        <v>1400</v>
      </c>
      <c r="E167" s="956"/>
      <c r="F167" s="926">
        <f t="shared" si="4"/>
        <v>0</v>
      </c>
      <c r="G167" s="952"/>
    </row>
    <row r="168" spans="1:7" ht="8.25" customHeight="1">
      <c r="A168" s="972"/>
      <c r="B168" s="970"/>
      <c r="C168" s="954"/>
      <c r="D168" s="971"/>
      <c r="E168" s="956"/>
      <c r="F168" s="926">
        <f t="shared" si="4"/>
        <v>0</v>
      </c>
      <c r="G168" s="944"/>
    </row>
    <row r="169" spans="1:7">
      <c r="A169" s="969"/>
      <c r="B169" s="977" t="s">
        <v>1164</v>
      </c>
      <c r="C169" s="954"/>
      <c r="D169" s="971"/>
      <c r="E169" s="956"/>
      <c r="F169" s="926">
        <f t="shared" si="4"/>
        <v>0</v>
      </c>
      <c r="G169" s="952"/>
    </row>
    <row r="170" spans="1:7" ht="8.25" customHeight="1">
      <c r="A170" s="972"/>
      <c r="B170" s="970"/>
      <c r="C170" s="954"/>
      <c r="D170" s="971"/>
      <c r="E170" s="956"/>
      <c r="F170" s="926">
        <f t="shared" si="4"/>
        <v>0</v>
      </c>
      <c r="G170" s="944"/>
    </row>
    <row r="171" spans="1:7" ht="15" customHeight="1">
      <c r="A171" s="969" t="s">
        <v>1163</v>
      </c>
      <c r="B171" s="970" t="s">
        <v>153</v>
      </c>
      <c r="C171" s="954" t="s">
        <v>9</v>
      </c>
      <c r="D171" s="971">
        <v>2</v>
      </c>
      <c r="E171" s="956"/>
      <c r="F171" s="926">
        <f t="shared" si="4"/>
        <v>0</v>
      </c>
      <c r="G171" s="952"/>
    </row>
    <row r="172" spans="1:7" ht="8.25" customHeight="1">
      <c r="A172" s="972"/>
      <c r="B172" s="970"/>
      <c r="C172" s="954"/>
      <c r="D172" s="971"/>
      <c r="E172" s="956"/>
      <c r="F172" s="926">
        <f t="shared" si="4"/>
        <v>0</v>
      </c>
      <c r="G172" s="944"/>
    </row>
    <row r="173" spans="1:7">
      <c r="A173" s="969" t="s">
        <v>1162</v>
      </c>
      <c r="B173" s="970" t="s">
        <v>154</v>
      </c>
      <c r="C173" s="954" t="s">
        <v>9</v>
      </c>
      <c r="D173" s="971">
        <v>300</v>
      </c>
      <c r="E173" s="956"/>
      <c r="F173" s="926">
        <f t="shared" si="4"/>
        <v>0</v>
      </c>
      <c r="G173" s="952"/>
    </row>
    <row r="174" spans="1:7" ht="8.25" customHeight="1">
      <c r="A174" s="972"/>
      <c r="B174" s="970"/>
      <c r="C174" s="954"/>
      <c r="D174" s="971"/>
      <c r="E174" s="956"/>
      <c r="F174" s="926">
        <f t="shared" si="4"/>
        <v>0</v>
      </c>
      <c r="G174" s="944"/>
    </row>
    <row r="175" spans="1:7">
      <c r="A175" s="969" t="s">
        <v>1161</v>
      </c>
      <c r="B175" s="970" t="s">
        <v>155</v>
      </c>
      <c r="C175" s="954" t="s">
        <v>9</v>
      </c>
      <c r="D175" s="971">
        <v>150</v>
      </c>
      <c r="E175" s="956"/>
      <c r="F175" s="926">
        <f t="shared" si="4"/>
        <v>0</v>
      </c>
      <c r="G175" s="952"/>
    </row>
    <row r="176" spans="1:7" ht="8.25" customHeight="1">
      <c r="A176" s="972"/>
      <c r="B176" s="970"/>
      <c r="C176" s="954"/>
      <c r="D176" s="971"/>
      <c r="E176" s="956"/>
      <c r="F176" s="926">
        <f t="shared" si="4"/>
        <v>0</v>
      </c>
      <c r="G176" s="944"/>
    </row>
    <row r="177" spans="1:7" ht="17.5">
      <c r="A177" s="969" t="s">
        <v>1160</v>
      </c>
      <c r="B177" s="970" t="s">
        <v>156</v>
      </c>
      <c r="C177" s="954" t="s">
        <v>1477</v>
      </c>
      <c r="D177" s="971">
        <v>40</v>
      </c>
      <c r="E177" s="956"/>
      <c r="F177" s="926">
        <f t="shared" si="4"/>
        <v>0</v>
      </c>
      <c r="G177" s="952"/>
    </row>
    <row r="178" spans="1:7" ht="8.25" customHeight="1">
      <c r="A178" s="972"/>
      <c r="B178" s="970"/>
      <c r="C178" s="954"/>
      <c r="D178" s="971"/>
      <c r="E178" s="956"/>
      <c r="F178" s="926">
        <f t="shared" si="4"/>
        <v>0</v>
      </c>
      <c r="G178" s="944"/>
    </row>
    <row r="179" spans="1:7" ht="31">
      <c r="A179" s="969" t="s">
        <v>1159</v>
      </c>
      <c r="B179" s="970" t="s">
        <v>157</v>
      </c>
      <c r="C179" s="954" t="s">
        <v>9</v>
      </c>
      <c r="D179" s="971">
        <v>5</v>
      </c>
      <c r="E179" s="956"/>
      <c r="F179" s="926">
        <f t="shared" si="4"/>
        <v>0</v>
      </c>
      <c r="G179" s="952"/>
    </row>
    <row r="180" spans="1:7" ht="8.25" customHeight="1">
      <c r="A180" s="972"/>
      <c r="B180" s="970"/>
      <c r="C180" s="954"/>
      <c r="D180" s="971"/>
      <c r="E180" s="956"/>
      <c r="F180" s="926">
        <f t="shared" si="4"/>
        <v>0</v>
      </c>
      <c r="G180" s="944"/>
    </row>
    <row r="181" spans="1:7" ht="24.65" customHeight="1">
      <c r="A181" s="969" t="s">
        <v>1158</v>
      </c>
      <c r="B181" s="981" t="s">
        <v>158</v>
      </c>
      <c r="C181" s="954" t="s">
        <v>9</v>
      </c>
      <c r="D181" s="971">
        <v>30</v>
      </c>
      <c r="E181" s="956"/>
      <c r="F181" s="926">
        <f t="shared" si="4"/>
        <v>0</v>
      </c>
      <c r="G181" s="952"/>
    </row>
    <row r="182" spans="1:7" ht="8.25" customHeight="1">
      <c r="A182" s="972"/>
      <c r="B182" s="970"/>
      <c r="C182" s="954"/>
      <c r="D182" s="971"/>
      <c r="E182" s="1106"/>
      <c r="F182" s="926"/>
      <c r="G182" s="944"/>
    </row>
    <row r="183" spans="1:7" ht="31">
      <c r="A183" s="1112" t="s">
        <v>1157</v>
      </c>
      <c r="B183" s="1113" t="s">
        <v>159</v>
      </c>
      <c r="C183" s="1114" t="s">
        <v>9</v>
      </c>
      <c r="D183" s="1099">
        <v>550</v>
      </c>
      <c r="E183" s="956"/>
      <c r="F183" s="1101">
        <f>E183*D183</f>
        <v>0</v>
      </c>
      <c r="G183" s="952"/>
    </row>
    <row r="184" spans="1:7" ht="8.25" customHeight="1">
      <c r="A184" s="972"/>
      <c r="B184" s="970"/>
      <c r="C184" s="954"/>
      <c r="D184" s="971"/>
      <c r="E184" s="956"/>
      <c r="F184" s="926"/>
      <c r="G184" s="944"/>
    </row>
    <row r="185" spans="1:7" ht="31">
      <c r="A185" s="969" t="s">
        <v>1156</v>
      </c>
      <c r="B185" s="970" t="s">
        <v>160</v>
      </c>
      <c r="C185" s="954" t="s">
        <v>9</v>
      </c>
      <c r="D185" s="971">
        <v>155</v>
      </c>
      <c r="E185" s="956"/>
      <c r="F185" s="926">
        <f t="shared" ref="F185:F241" si="5">E185*D185</f>
        <v>0</v>
      </c>
      <c r="G185" s="952"/>
    </row>
    <row r="186" spans="1:7" ht="8.25" customHeight="1">
      <c r="A186" s="972"/>
      <c r="B186" s="970"/>
      <c r="C186" s="954"/>
      <c r="D186" s="971"/>
      <c r="E186" s="956"/>
      <c r="F186" s="926">
        <f t="shared" si="5"/>
        <v>0</v>
      </c>
      <c r="G186" s="944"/>
    </row>
    <row r="187" spans="1:7" ht="46.5">
      <c r="A187" s="969" t="s">
        <v>1155</v>
      </c>
      <c r="B187" s="982" t="s">
        <v>1349</v>
      </c>
      <c r="C187" s="971" t="s">
        <v>43</v>
      </c>
      <c r="D187" s="971">
        <v>2</v>
      </c>
      <c r="E187" s="983"/>
      <c r="F187" s="984">
        <f t="shared" si="5"/>
        <v>0</v>
      </c>
      <c r="G187" s="952"/>
    </row>
    <row r="188" spans="1:7" ht="8.25" customHeight="1">
      <c r="A188" s="972"/>
      <c r="B188" s="970"/>
      <c r="C188" s="954"/>
      <c r="D188" s="971"/>
      <c r="E188" s="956"/>
      <c r="F188" s="926">
        <f t="shared" si="5"/>
        <v>0</v>
      </c>
      <c r="G188" s="944"/>
    </row>
    <row r="189" spans="1:7" ht="46.5">
      <c r="A189" s="974" t="s">
        <v>1154</v>
      </c>
      <c r="B189" s="982" t="s">
        <v>161</v>
      </c>
      <c r="C189" s="971" t="s">
        <v>43</v>
      </c>
      <c r="D189" s="971">
        <v>2</v>
      </c>
      <c r="E189" s="956"/>
      <c r="F189" s="926">
        <f t="shared" si="5"/>
        <v>0</v>
      </c>
      <c r="G189" s="952"/>
    </row>
    <row r="190" spans="1:7" ht="7.25" customHeight="1">
      <c r="A190" s="972"/>
      <c r="B190" s="970"/>
      <c r="C190" s="954"/>
      <c r="D190" s="971"/>
      <c r="E190" s="956"/>
      <c r="F190" s="926">
        <f t="shared" si="5"/>
        <v>0</v>
      </c>
      <c r="G190" s="944"/>
    </row>
    <row r="191" spans="1:7" ht="46.5">
      <c r="A191" s="974">
        <v>5.31</v>
      </c>
      <c r="B191" s="982" t="s">
        <v>1153</v>
      </c>
      <c r="C191" s="971" t="s">
        <v>43</v>
      </c>
      <c r="D191" s="971">
        <v>2</v>
      </c>
      <c r="E191" s="956"/>
      <c r="F191" s="926">
        <f t="shared" si="5"/>
        <v>0</v>
      </c>
      <c r="G191" s="952"/>
    </row>
    <row r="192" spans="1:7">
      <c r="A192" s="985"/>
      <c r="B192" s="986"/>
      <c r="C192" s="987"/>
      <c r="D192" s="987"/>
      <c r="E192" s="956"/>
      <c r="F192" s="926">
        <f t="shared" si="5"/>
        <v>0</v>
      </c>
      <c r="G192" s="952"/>
    </row>
    <row r="193" spans="1:7" ht="46.5">
      <c r="A193" s="969" t="s">
        <v>1152</v>
      </c>
      <c r="B193" s="982" t="s">
        <v>162</v>
      </c>
      <c r="C193" s="971" t="s">
        <v>43</v>
      </c>
      <c r="D193" s="971">
        <v>2</v>
      </c>
      <c r="E193" s="956"/>
      <c r="F193" s="926">
        <f t="shared" si="5"/>
        <v>0</v>
      </c>
      <c r="G193" s="952"/>
    </row>
    <row r="194" spans="1:7" ht="8.25" customHeight="1">
      <c r="A194" s="972"/>
      <c r="B194" s="970"/>
      <c r="C194" s="954"/>
      <c r="D194" s="971"/>
      <c r="E194" s="956"/>
      <c r="F194" s="926">
        <f t="shared" si="5"/>
        <v>0</v>
      </c>
      <c r="G194" s="944"/>
    </row>
    <row r="195" spans="1:7" ht="31">
      <c r="A195" s="969" t="s">
        <v>1151</v>
      </c>
      <c r="B195" s="988" t="s">
        <v>163</v>
      </c>
      <c r="C195" s="971" t="s">
        <v>43</v>
      </c>
      <c r="D195" s="971">
        <v>2</v>
      </c>
      <c r="E195" s="956"/>
      <c r="F195" s="926">
        <f t="shared" si="5"/>
        <v>0</v>
      </c>
      <c r="G195" s="952"/>
    </row>
    <row r="196" spans="1:7" ht="8.25" customHeight="1">
      <c r="A196" s="972"/>
      <c r="B196" s="970"/>
      <c r="C196" s="954"/>
      <c r="D196" s="971"/>
      <c r="E196" s="956"/>
      <c r="F196" s="926">
        <f t="shared" si="5"/>
        <v>0</v>
      </c>
      <c r="G196" s="944"/>
    </row>
    <row r="197" spans="1:7" ht="31">
      <c r="A197" s="969" t="s">
        <v>1150</v>
      </c>
      <c r="B197" s="988" t="s">
        <v>164</v>
      </c>
      <c r="C197" s="971" t="s">
        <v>43</v>
      </c>
      <c r="D197" s="971">
        <v>2</v>
      </c>
      <c r="E197" s="956"/>
      <c r="F197" s="926">
        <f t="shared" si="5"/>
        <v>0</v>
      </c>
      <c r="G197" s="952"/>
    </row>
    <row r="198" spans="1:7" ht="8.25" customHeight="1">
      <c r="A198" s="972"/>
      <c r="B198" s="970"/>
      <c r="C198" s="954"/>
      <c r="D198" s="971"/>
      <c r="E198" s="956"/>
      <c r="F198" s="926">
        <f t="shared" si="5"/>
        <v>0</v>
      </c>
      <c r="G198" s="944"/>
    </row>
    <row r="199" spans="1:7" ht="8.25" customHeight="1">
      <c r="A199" s="972"/>
      <c r="B199" s="970"/>
      <c r="C199" s="954"/>
      <c r="D199" s="971"/>
      <c r="E199" s="956"/>
      <c r="F199" s="926"/>
      <c r="G199" s="944"/>
    </row>
    <row r="200" spans="1:7" ht="8.25" customHeight="1">
      <c r="A200" s="972"/>
      <c r="B200" s="970"/>
      <c r="C200" s="954"/>
      <c r="D200" s="971"/>
      <c r="E200" s="956"/>
      <c r="F200" s="926"/>
      <c r="G200" s="944"/>
    </row>
    <row r="201" spans="1:7" ht="8.25" customHeight="1">
      <c r="A201" s="972"/>
      <c r="B201" s="970"/>
      <c r="C201" s="954"/>
      <c r="D201" s="971"/>
      <c r="E201" s="956"/>
      <c r="F201" s="926"/>
      <c r="G201" s="944"/>
    </row>
    <row r="202" spans="1:7" ht="8.25" customHeight="1">
      <c r="A202" s="972"/>
      <c r="B202" s="970"/>
      <c r="C202" s="954"/>
      <c r="D202" s="971"/>
      <c r="E202" s="956"/>
      <c r="F202" s="926"/>
      <c r="G202" s="944"/>
    </row>
    <row r="203" spans="1:7" ht="8.25" customHeight="1">
      <c r="A203" s="972"/>
      <c r="B203" s="970"/>
      <c r="C203" s="954"/>
      <c r="D203" s="971"/>
      <c r="E203" s="956"/>
      <c r="F203" s="926"/>
      <c r="G203" s="944"/>
    </row>
    <row r="204" spans="1:7" ht="8.25" customHeight="1">
      <c r="A204" s="972"/>
      <c r="B204" s="970"/>
      <c r="C204" s="954"/>
      <c r="D204" s="971"/>
      <c r="E204" s="956"/>
      <c r="F204" s="926"/>
      <c r="G204" s="944"/>
    </row>
    <row r="205" spans="1:7" ht="8.25" customHeight="1">
      <c r="A205" s="972"/>
      <c r="B205" s="970"/>
      <c r="C205" s="954"/>
      <c r="D205" s="971"/>
      <c r="E205" s="956"/>
      <c r="F205" s="926"/>
      <c r="G205" s="944"/>
    </row>
    <row r="206" spans="1:7" ht="8.25" customHeight="1">
      <c r="A206" s="972"/>
      <c r="B206" s="970"/>
      <c r="C206" s="954"/>
      <c r="D206" s="971"/>
      <c r="E206" s="956"/>
      <c r="F206" s="926"/>
      <c r="G206" s="944"/>
    </row>
    <row r="207" spans="1:7" ht="8.25" customHeight="1">
      <c r="A207" s="972"/>
      <c r="B207" s="970"/>
      <c r="C207" s="954"/>
      <c r="D207" s="971"/>
      <c r="E207" s="956"/>
      <c r="F207" s="926"/>
      <c r="G207" s="944"/>
    </row>
    <row r="208" spans="1:7" ht="8.25" customHeight="1">
      <c r="A208" s="972"/>
      <c r="B208" s="970"/>
      <c r="C208" s="954"/>
      <c r="D208" s="971"/>
      <c r="E208" s="956"/>
      <c r="F208" s="926"/>
      <c r="G208" s="944"/>
    </row>
    <row r="209" spans="1:7" ht="16" thickBot="1">
      <c r="A209" s="1562" t="s">
        <v>966</v>
      </c>
      <c r="B209" s="1563"/>
      <c r="C209" s="1563"/>
      <c r="D209" s="1563"/>
      <c r="E209" s="1564"/>
      <c r="F209" s="976">
        <f>SUM(F159:F208)</f>
        <v>0</v>
      </c>
      <c r="G209" s="944"/>
    </row>
    <row r="210" spans="1:7" ht="8.25" customHeight="1" thickTop="1">
      <c r="A210" s="972"/>
      <c r="B210" s="970"/>
      <c r="C210" s="954"/>
      <c r="D210" s="971"/>
      <c r="E210" s="956"/>
      <c r="F210" s="926"/>
      <c r="G210" s="944"/>
    </row>
    <row r="211" spans="1:7">
      <c r="A211" s="921">
        <v>1.6</v>
      </c>
      <c r="B211" s="922" t="s">
        <v>1149</v>
      </c>
      <c r="C211" s="923"/>
      <c r="D211" s="971"/>
      <c r="E211" s="925"/>
      <c r="F211" s="926">
        <f t="shared" si="5"/>
        <v>0</v>
      </c>
      <c r="G211" s="952"/>
    </row>
    <row r="212" spans="1:7" ht="8.25" customHeight="1">
      <c r="A212" s="972"/>
      <c r="B212" s="970"/>
      <c r="C212" s="954"/>
      <c r="D212" s="971"/>
      <c r="E212" s="956"/>
      <c r="F212" s="926">
        <f t="shared" si="5"/>
        <v>0</v>
      </c>
      <c r="G212" s="944"/>
    </row>
    <row r="213" spans="1:7" ht="17.5">
      <c r="A213" s="969" t="s">
        <v>1148</v>
      </c>
      <c r="B213" s="970" t="s">
        <v>1147</v>
      </c>
      <c r="C213" s="954" t="s">
        <v>1477</v>
      </c>
      <c r="D213" s="971">
        <v>1320</v>
      </c>
      <c r="E213" s="956"/>
      <c r="F213" s="926">
        <f t="shared" si="5"/>
        <v>0</v>
      </c>
      <c r="G213" s="952"/>
    </row>
    <row r="214" spans="1:7" ht="8.25" customHeight="1">
      <c r="A214" s="972"/>
      <c r="B214" s="970"/>
      <c r="C214" s="954"/>
      <c r="D214" s="971"/>
      <c r="E214" s="956"/>
      <c r="F214" s="926">
        <f t="shared" si="5"/>
        <v>0</v>
      </c>
      <c r="G214" s="944"/>
    </row>
    <row r="215" spans="1:7">
      <c r="A215" s="921">
        <v>1.7</v>
      </c>
      <c r="B215" s="922" t="s">
        <v>165</v>
      </c>
      <c r="C215" s="923"/>
      <c r="D215" s="971"/>
      <c r="E215" s="925"/>
      <c r="F215" s="926">
        <f t="shared" si="5"/>
        <v>0</v>
      </c>
      <c r="G215" s="952"/>
    </row>
    <row r="216" spans="1:7" ht="8.25" customHeight="1">
      <c r="A216" s="972"/>
      <c r="B216" s="970"/>
      <c r="C216" s="954"/>
      <c r="D216" s="971"/>
      <c r="E216" s="956"/>
      <c r="F216" s="926">
        <f t="shared" si="5"/>
        <v>0</v>
      </c>
      <c r="G216" s="944"/>
    </row>
    <row r="217" spans="1:7" ht="67.25" customHeight="1">
      <c r="A217" s="969"/>
      <c r="B217" s="970" t="s">
        <v>166</v>
      </c>
      <c r="C217" s="954"/>
      <c r="D217" s="971"/>
      <c r="E217" s="956"/>
      <c r="F217" s="926">
        <f t="shared" si="5"/>
        <v>0</v>
      </c>
      <c r="G217" s="952"/>
    </row>
    <row r="218" spans="1:7" ht="8.25" customHeight="1">
      <c r="A218" s="972"/>
      <c r="B218" s="970"/>
      <c r="C218" s="954"/>
      <c r="D218" s="971"/>
      <c r="E218" s="956"/>
      <c r="F218" s="926">
        <f t="shared" si="5"/>
        <v>0</v>
      </c>
      <c r="G218" s="944"/>
    </row>
    <row r="219" spans="1:7" ht="17.5">
      <c r="A219" s="989" t="s">
        <v>1146</v>
      </c>
      <c r="B219" s="982" t="s">
        <v>167</v>
      </c>
      <c r="C219" s="971" t="s">
        <v>1477</v>
      </c>
      <c r="D219" s="971">
        <v>200</v>
      </c>
      <c r="E219" s="956"/>
      <c r="F219" s="926">
        <f t="shared" si="5"/>
        <v>0</v>
      </c>
      <c r="G219" s="952"/>
    </row>
    <row r="220" spans="1:7" ht="9" customHeight="1">
      <c r="A220" s="989"/>
      <c r="B220" s="982"/>
      <c r="C220" s="971"/>
      <c r="D220" s="971"/>
      <c r="E220" s="956"/>
      <c r="F220" s="926">
        <f t="shared" si="5"/>
        <v>0</v>
      </c>
      <c r="G220" s="952"/>
    </row>
    <row r="221" spans="1:7" ht="17.5">
      <c r="A221" s="989" t="s">
        <v>1145</v>
      </c>
      <c r="B221" s="982" t="s">
        <v>168</v>
      </c>
      <c r="C221" s="971" t="s">
        <v>1477</v>
      </c>
      <c r="D221" s="971">
        <v>120</v>
      </c>
      <c r="E221" s="956"/>
      <c r="F221" s="926">
        <f t="shared" si="5"/>
        <v>0</v>
      </c>
      <c r="G221" s="952"/>
    </row>
    <row r="222" spans="1:7" ht="8.25" customHeight="1">
      <c r="A222" s="972"/>
      <c r="B222" s="970"/>
      <c r="C222" s="954"/>
      <c r="D222" s="971"/>
      <c r="E222" s="956"/>
      <c r="F222" s="926">
        <f t="shared" si="5"/>
        <v>0</v>
      </c>
      <c r="G222" s="944"/>
    </row>
    <row r="223" spans="1:7" ht="31">
      <c r="A223" s="989" t="s">
        <v>1144</v>
      </c>
      <c r="B223" s="982" t="s">
        <v>169</v>
      </c>
      <c r="C223" s="971" t="s">
        <v>9</v>
      </c>
      <c r="D223" s="971">
        <v>150</v>
      </c>
      <c r="E223" s="956"/>
      <c r="F223" s="926">
        <f t="shared" si="5"/>
        <v>0</v>
      </c>
      <c r="G223" s="952"/>
    </row>
    <row r="224" spans="1:7" ht="8.25" customHeight="1">
      <c r="A224" s="972"/>
      <c r="B224" s="970"/>
      <c r="C224" s="954"/>
      <c r="D224" s="971"/>
      <c r="E224" s="956"/>
      <c r="F224" s="926">
        <f t="shared" si="5"/>
        <v>0</v>
      </c>
      <c r="G224" s="944"/>
    </row>
    <row r="225" spans="1:7">
      <c r="A225" s="989" t="s">
        <v>1143</v>
      </c>
      <c r="B225" s="982" t="s">
        <v>170</v>
      </c>
      <c r="C225" s="971" t="s">
        <v>9</v>
      </c>
      <c r="D225" s="971">
        <v>450</v>
      </c>
      <c r="E225" s="956"/>
      <c r="F225" s="926">
        <f t="shared" si="5"/>
        <v>0</v>
      </c>
      <c r="G225" s="952"/>
    </row>
    <row r="226" spans="1:7" ht="8.25" customHeight="1">
      <c r="A226" s="972"/>
      <c r="B226" s="970"/>
      <c r="C226" s="954"/>
      <c r="D226" s="971"/>
      <c r="E226" s="956"/>
      <c r="F226" s="926">
        <f t="shared" si="5"/>
        <v>0</v>
      </c>
      <c r="G226" s="944"/>
    </row>
    <row r="227" spans="1:7" ht="31">
      <c r="A227" s="989" t="s">
        <v>1142</v>
      </c>
      <c r="B227" s="982" t="s">
        <v>171</v>
      </c>
      <c r="C227" s="971" t="s">
        <v>9</v>
      </c>
      <c r="D227" s="971">
        <v>600</v>
      </c>
      <c r="E227" s="956"/>
      <c r="F227" s="926">
        <f t="shared" si="5"/>
        <v>0</v>
      </c>
      <c r="G227" s="952"/>
    </row>
    <row r="228" spans="1:7" ht="8.25" customHeight="1">
      <c r="A228" s="972"/>
      <c r="B228" s="970"/>
      <c r="C228" s="954"/>
      <c r="D228" s="971"/>
      <c r="E228" s="956"/>
      <c r="F228" s="926">
        <f t="shared" si="5"/>
        <v>0</v>
      </c>
      <c r="G228" s="944"/>
    </row>
    <row r="229" spans="1:7">
      <c r="A229" s="921">
        <v>1.8</v>
      </c>
      <c r="B229" s="922" t="s">
        <v>172</v>
      </c>
      <c r="C229" s="923"/>
      <c r="D229" s="971"/>
      <c r="E229" s="925"/>
      <c r="F229" s="926">
        <f t="shared" si="5"/>
        <v>0</v>
      </c>
      <c r="G229" s="952"/>
    </row>
    <row r="230" spans="1:7" ht="8.25" customHeight="1">
      <c r="A230" s="972"/>
      <c r="B230" s="970"/>
      <c r="C230" s="954"/>
      <c r="D230" s="971"/>
      <c r="E230" s="956"/>
      <c r="F230" s="926">
        <f t="shared" si="5"/>
        <v>0</v>
      </c>
      <c r="G230" s="944"/>
    </row>
    <row r="231" spans="1:7" ht="46.5">
      <c r="A231" s="969"/>
      <c r="B231" s="990" t="s">
        <v>173</v>
      </c>
      <c r="C231" s="954"/>
      <c r="D231" s="971"/>
      <c r="E231" s="956"/>
      <c r="F231" s="926">
        <f t="shared" si="5"/>
        <v>0</v>
      </c>
      <c r="G231" s="952"/>
    </row>
    <row r="232" spans="1:7" ht="8.25" customHeight="1">
      <c r="A232" s="972"/>
      <c r="B232" s="970"/>
      <c r="C232" s="954"/>
      <c r="D232" s="971"/>
      <c r="E232" s="956"/>
      <c r="F232" s="926">
        <f t="shared" si="5"/>
        <v>0</v>
      </c>
      <c r="G232" s="944"/>
    </row>
    <row r="233" spans="1:7" ht="31">
      <c r="A233" s="969"/>
      <c r="B233" s="977" t="s">
        <v>1393</v>
      </c>
      <c r="C233" s="954"/>
      <c r="D233" s="971"/>
      <c r="E233" s="956"/>
      <c r="F233" s="926">
        <f t="shared" si="5"/>
        <v>0</v>
      </c>
      <c r="G233" s="952"/>
    </row>
    <row r="234" spans="1:7" ht="8.25" customHeight="1">
      <c r="A234" s="972"/>
      <c r="B234" s="970"/>
      <c r="C234" s="954"/>
      <c r="D234" s="971"/>
      <c r="E234" s="956"/>
      <c r="F234" s="926">
        <f t="shared" si="5"/>
        <v>0</v>
      </c>
      <c r="G234" s="944"/>
    </row>
    <row r="235" spans="1:7">
      <c r="A235" s="969" t="s">
        <v>1141</v>
      </c>
      <c r="B235" s="970" t="s">
        <v>1350</v>
      </c>
      <c r="C235" s="954" t="s">
        <v>43</v>
      </c>
      <c r="D235" s="971">
        <v>3</v>
      </c>
      <c r="E235" s="956"/>
      <c r="F235" s="926">
        <f t="shared" si="5"/>
        <v>0</v>
      </c>
      <c r="G235" s="952"/>
    </row>
    <row r="236" spans="1:7" ht="8.25" customHeight="1">
      <c r="A236" s="972"/>
      <c r="B236" s="970"/>
      <c r="C236" s="954"/>
      <c r="D236" s="971"/>
      <c r="E236" s="956"/>
      <c r="F236" s="926">
        <f t="shared" si="5"/>
        <v>0</v>
      </c>
      <c r="G236" s="944"/>
    </row>
    <row r="237" spans="1:7">
      <c r="A237" s="969" t="s">
        <v>1140</v>
      </c>
      <c r="B237" s="970" t="s">
        <v>1351</v>
      </c>
      <c r="C237" s="971" t="s">
        <v>43</v>
      </c>
      <c r="D237" s="971">
        <v>2</v>
      </c>
      <c r="E237" s="956"/>
      <c r="F237" s="926">
        <f t="shared" si="5"/>
        <v>0</v>
      </c>
      <c r="G237" s="952"/>
    </row>
    <row r="238" spans="1:7" ht="8.25" customHeight="1">
      <c r="A238" s="972"/>
      <c r="B238" s="970"/>
      <c r="C238" s="954"/>
      <c r="D238" s="971"/>
      <c r="E238" s="956"/>
      <c r="F238" s="926">
        <f t="shared" si="5"/>
        <v>0</v>
      </c>
      <c r="G238" s="944"/>
    </row>
    <row r="239" spans="1:7" ht="18" customHeight="1">
      <c r="A239" s="969" t="s">
        <v>1109</v>
      </c>
      <c r="B239" s="970" t="s">
        <v>1479</v>
      </c>
      <c r="C239" s="954" t="s">
        <v>43</v>
      </c>
      <c r="D239" s="971">
        <v>1</v>
      </c>
      <c r="E239" s="956"/>
      <c r="F239" s="926">
        <f t="shared" si="5"/>
        <v>0</v>
      </c>
      <c r="G239" s="952"/>
    </row>
    <row r="240" spans="1:7" ht="8.25" customHeight="1">
      <c r="A240" s="972"/>
      <c r="B240" s="970"/>
      <c r="C240" s="954"/>
      <c r="D240" s="971"/>
      <c r="E240" s="956"/>
      <c r="F240" s="926">
        <f t="shared" si="5"/>
        <v>0</v>
      </c>
      <c r="G240" s="944"/>
    </row>
    <row r="241" spans="1:7" ht="31">
      <c r="A241" s="969" t="s">
        <v>1139</v>
      </c>
      <c r="B241" s="970" t="s">
        <v>1352</v>
      </c>
      <c r="C241" s="971" t="s">
        <v>43</v>
      </c>
      <c r="D241" s="971">
        <v>1</v>
      </c>
      <c r="E241" s="956"/>
      <c r="F241" s="926">
        <f t="shared" si="5"/>
        <v>0</v>
      </c>
      <c r="G241" s="952"/>
    </row>
    <row r="242" spans="1:7" ht="8.25" customHeight="1">
      <c r="A242" s="969"/>
      <c r="B242" s="970"/>
      <c r="C242" s="971"/>
      <c r="D242" s="971"/>
      <c r="E242" s="956"/>
      <c r="F242" s="926"/>
      <c r="G242" s="980"/>
    </row>
    <row r="243" spans="1:7" ht="31">
      <c r="A243" s="969" t="s">
        <v>1138</v>
      </c>
      <c r="B243" s="1113" t="s">
        <v>1353</v>
      </c>
      <c r="C243" s="971" t="s">
        <v>43</v>
      </c>
      <c r="D243" s="971">
        <v>1</v>
      </c>
      <c r="E243" s="956"/>
      <c r="F243" s="1101">
        <f>E243*D243</f>
        <v>0</v>
      </c>
      <c r="G243" s="952"/>
    </row>
    <row r="244" spans="1:7" ht="8.25" customHeight="1">
      <c r="A244" s="972"/>
      <c r="B244" s="970"/>
      <c r="C244" s="954"/>
      <c r="D244" s="971"/>
      <c r="E244" s="956"/>
      <c r="F244" s="926"/>
      <c r="G244" s="944"/>
    </row>
    <row r="245" spans="1:7">
      <c r="A245" s="969" t="s">
        <v>1137</v>
      </c>
      <c r="B245" s="970" t="s">
        <v>1354</v>
      </c>
      <c r="C245" s="971" t="s">
        <v>43</v>
      </c>
      <c r="D245" s="971">
        <v>1</v>
      </c>
      <c r="E245" s="956"/>
      <c r="F245" s="926">
        <f t="shared" ref="F245:F292" si="6">E245*D245</f>
        <v>0</v>
      </c>
      <c r="G245" s="952"/>
    </row>
    <row r="246" spans="1:7" ht="8.25" customHeight="1">
      <c r="A246" s="972"/>
      <c r="B246" s="970"/>
      <c r="C246" s="954"/>
      <c r="D246" s="971"/>
      <c r="E246" s="956"/>
      <c r="F246" s="926">
        <f t="shared" si="6"/>
        <v>0</v>
      </c>
      <c r="G246" s="944"/>
    </row>
    <row r="247" spans="1:7" ht="31">
      <c r="A247" s="969" t="s">
        <v>1136</v>
      </c>
      <c r="B247" s="970" t="s">
        <v>1355</v>
      </c>
      <c r="C247" s="971" t="s">
        <v>43</v>
      </c>
      <c r="D247" s="971">
        <v>2</v>
      </c>
      <c r="E247" s="956"/>
      <c r="F247" s="926">
        <f t="shared" si="6"/>
        <v>0</v>
      </c>
      <c r="G247" s="952"/>
    </row>
    <row r="248" spans="1:7" ht="8.25" customHeight="1">
      <c r="A248" s="972"/>
      <c r="B248" s="970"/>
      <c r="C248" s="954"/>
      <c r="D248" s="971"/>
      <c r="E248" s="956"/>
      <c r="F248" s="926">
        <f t="shared" si="6"/>
        <v>0</v>
      </c>
      <c r="G248" s="944"/>
    </row>
    <row r="249" spans="1:7">
      <c r="A249" s="969" t="s">
        <v>1135</v>
      </c>
      <c r="B249" s="970" t="s">
        <v>1356</v>
      </c>
      <c r="C249" s="954" t="s">
        <v>43</v>
      </c>
      <c r="D249" s="971">
        <v>3</v>
      </c>
      <c r="E249" s="956"/>
      <c r="F249" s="926">
        <f t="shared" si="6"/>
        <v>0</v>
      </c>
      <c r="G249" s="952"/>
    </row>
    <row r="250" spans="1:7" ht="8.25" customHeight="1">
      <c r="A250" s="972"/>
      <c r="B250" s="970"/>
      <c r="C250" s="954"/>
      <c r="D250" s="971"/>
      <c r="E250" s="956"/>
      <c r="F250" s="926">
        <f t="shared" si="6"/>
        <v>0</v>
      </c>
      <c r="G250" s="944"/>
    </row>
    <row r="251" spans="1:7" ht="31">
      <c r="A251" s="969" t="s">
        <v>1134</v>
      </c>
      <c r="B251" s="970" t="s">
        <v>1357</v>
      </c>
      <c r="C251" s="971" t="s">
        <v>43</v>
      </c>
      <c r="D251" s="971">
        <v>1</v>
      </c>
      <c r="E251" s="956"/>
      <c r="F251" s="926">
        <f t="shared" si="6"/>
        <v>0</v>
      </c>
      <c r="G251" s="952"/>
    </row>
    <row r="252" spans="1:7" ht="8.25" customHeight="1">
      <c r="A252" s="972"/>
      <c r="B252" s="970"/>
      <c r="C252" s="954"/>
      <c r="D252" s="971"/>
      <c r="E252" s="956"/>
      <c r="F252" s="926">
        <f t="shared" si="6"/>
        <v>0</v>
      </c>
      <c r="G252" s="944"/>
    </row>
    <row r="253" spans="1:7" ht="17.5">
      <c r="A253" s="974" t="s">
        <v>1133</v>
      </c>
      <c r="B253" s="970" t="s">
        <v>1480</v>
      </c>
      <c r="C253" s="971" t="s">
        <v>43</v>
      </c>
      <c r="D253" s="971">
        <v>4</v>
      </c>
      <c r="E253" s="956"/>
      <c r="F253" s="926">
        <f t="shared" si="6"/>
        <v>0</v>
      </c>
      <c r="G253" s="952"/>
    </row>
    <row r="254" spans="1:7" ht="8.25" customHeight="1">
      <c r="A254" s="972"/>
      <c r="B254" s="970"/>
      <c r="C254" s="954"/>
      <c r="D254" s="971"/>
      <c r="E254" s="956"/>
      <c r="F254" s="926">
        <f t="shared" si="6"/>
        <v>0</v>
      </c>
      <c r="G254" s="944"/>
    </row>
    <row r="255" spans="1:7" ht="31">
      <c r="A255" s="974" t="s">
        <v>1132</v>
      </c>
      <c r="B255" s="970" t="s">
        <v>1358</v>
      </c>
      <c r="C255" s="971" t="s">
        <v>43</v>
      </c>
      <c r="D255" s="971">
        <v>2</v>
      </c>
      <c r="E255" s="956"/>
      <c r="F255" s="926">
        <f t="shared" si="6"/>
        <v>0</v>
      </c>
      <c r="G255" s="952"/>
    </row>
    <row r="256" spans="1:7">
      <c r="A256" s="974"/>
      <c r="B256" s="970"/>
      <c r="C256" s="971"/>
      <c r="D256" s="971"/>
      <c r="E256" s="956"/>
      <c r="F256" s="926"/>
      <c r="G256" s="980"/>
    </row>
    <row r="257" spans="1:7" ht="16" thickBot="1">
      <c r="A257" s="1562" t="s">
        <v>966</v>
      </c>
      <c r="B257" s="1563"/>
      <c r="C257" s="1563"/>
      <c r="D257" s="1563"/>
      <c r="E257" s="1564"/>
      <c r="F257" s="976">
        <f>SUM(F213:F255)</f>
        <v>0</v>
      </c>
      <c r="G257" s="980"/>
    </row>
    <row r="258" spans="1:7" ht="16" thickTop="1">
      <c r="A258" s="974"/>
      <c r="B258" s="970"/>
      <c r="C258" s="971"/>
      <c r="D258" s="971"/>
      <c r="E258" s="956"/>
      <c r="F258" s="926"/>
      <c r="G258" s="980"/>
    </row>
    <row r="259" spans="1:7" ht="8.25" customHeight="1">
      <c r="A259" s="972"/>
      <c r="B259" s="970"/>
      <c r="C259" s="954"/>
      <c r="D259" s="971"/>
      <c r="E259" s="956"/>
      <c r="F259" s="926">
        <f t="shared" si="6"/>
        <v>0</v>
      </c>
      <c r="G259" s="944"/>
    </row>
    <row r="260" spans="1:7" ht="31">
      <c r="A260" s="974" t="s">
        <v>1131</v>
      </c>
      <c r="B260" s="970" t="s">
        <v>1359</v>
      </c>
      <c r="C260" s="971" t="s">
        <v>43</v>
      </c>
      <c r="D260" s="971">
        <v>2</v>
      </c>
      <c r="E260" s="956"/>
      <c r="F260" s="926">
        <f t="shared" si="6"/>
        <v>0</v>
      </c>
      <c r="G260" s="952"/>
    </row>
    <row r="261" spans="1:7" ht="8.25" customHeight="1">
      <c r="A261" s="972"/>
      <c r="B261" s="970"/>
      <c r="C261" s="954"/>
      <c r="D261" s="971"/>
      <c r="E261" s="956"/>
      <c r="F261" s="926">
        <f t="shared" si="6"/>
        <v>0</v>
      </c>
      <c r="G261" s="944"/>
    </row>
    <row r="262" spans="1:7">
      <c r="A262" s="974" t="s">
        <v>1130</v>
      </c>
      <c r="B262" s="970" t="s">
        <v>1360</v>
      </c>
      <c r="C262" s="971" t="s">
        <v>43</v>
      </c>
      <c r="D262" s="971">
        <v>2</v>
      </c>
      <c r="E262" s="956"/>
      <c r="F262" s="926">
        <f t="shared" si="6"/>
        <v>0</v>
      </c>
      <c r="G262" s="952"/>
    </row>
    <row r="263" spans="1:7" ht="8.25" customHeight="1">
      <c r="A263" s="972"/>
      <c r="B263" s="970"/>
      <c r="C263" s="954"/>
      <c r="D263" s="971"/>
      <c r="E263" s="956"/>
      <c r="F263" s="926">
        <f t="shared" si="6"/>
        <v>0</v>
      </c>
      <c r="G263" s="944"/>
    </row>
    <row r="264" spans="1:7" ht="15" customHeight="1">
      <c r="A264" s="974" t="s">
        <v>1129</v>
      </c>
      <c r="B264" s="970" t="s">
        <v>1361</v>
      </c>
      <c r="C264" s="971" t="s">
        <v>43</v>
      </c>
      <c r="D264" s="971">
        <v>1</v>
      </c>
      <c r="E264" s="956"/>
      <c r="F264" s="926">
        <f t="shared" si="6"/>
        <v>0</v>
      </c>
      <c r="G264" s="952"/>
    </row>
    <row r="265" spans="1:7" ht="7.5" customHeight="1">
      <c r="A265" s="974"/>
      <c r="B265" s="970"/>
      <c r="C265" s="971"/>
      <c r="D265" s="971"/>
      <c r="E265" s="956"/>
      <c r="F265" s="926">
        <f t="shared" si="6"/>
        <v>0</v>
      </c>
      <c r="G265" s="952"/>
    </row>
    <row r="266" spans="1:7" ht="31">
      <c r="A266" s="974" t="s">
        <v>1128</v>
      </c>
      <c r="B266" s="970" t="s">
        <v>1362</v>
      </c>
      <c r="C266" s="971" t="s">
        <v>43</v>
      </c>
      <c r="D266" s="971">
        <v>1</v>
      </c>
      <c r="E266" s="956"/>
      <c r="F266" s="926">
        <f t="shared" si="6"/>
        <v>0</v>
      </c>
      <c r="G266" s="952"/>
    </row>
    <row r="267" spans="1:7" ht="8.25" customHeight="1">
      <c r="A267" s="972"/>
      <c r="B267" s="970"/>
      <c r="C267" s="954"/>
      <c r="D267" s="971"/>
      <c r="E267" s="956"/>
      <c r="F267" s="926">
        <f t="shared" si="6"/>
        <v>0</v>
      </c>
      <c r="G267" s="944"/>
    </row>
    <row r="268" spans="1:7">
      <c r="A268" s="974" t="s">
        <v>1127</v>
      </c>
      <c r="B268" s="970" t="s">
        <v>1363</v>
      </c>
      <c r="C268" s="954" t="s">
        <v>43</v>
      </c>
      <c r="D268" s="971">
        <v>3</v>
      </c>
      <c r="E268" s="956"/>
      <c r="F268" s="926">
        <f t="shared" si="6"/>
        <v>0</v>
      </c>
      <c r="G268" s="952"/>
    </row>
    <row r="269" spans="1:7" ht="8.25" customHeight="1">
      <c r="A269" s="972"/>
      <c r="B269" s="970"/>
      <c r="C269" s="954"/>
      <c r="D269" s="971"/>
      <c r="E269" s="956"/>
      <c r="F269" s="926">
        <f t="shared" si="6"/>
        <v>0</v>
      </c>
      <c r="G269" s="944"/>
    </row>
    <row r="270" spans="1:7">
      <c r="A270" s="974" t="s">
        <v>1126</v>
      </c>
      <c r="B270" s="970" t="s">
        <v>1364</v>
      </c>
      <c r="C270" s="954" t="s">
        <v>43</v>
      </c>
      <c r="D270" s="971">
        <v>2</v>
      </c>
      <c r="E270" s="956"/>
      <c r="F270" s="926">
        <f t="shared" si="6"/>
        <v>0</v>
      </c>
      <c r="G270" s="952"/>
    </row>
    <row r="271" spans="1:7" ht="8.25" customHeight="1">
      <c r="A271" s="972"/>
      <c r="B271" s="970"/>
      <c r="C271" s="954"/>
      <c r="D271" s="971"/>
      <c r="E271" s="956"/>
      <c r="F271" s="926">
        <f t="shared" si="6"/>
        <v>0</v>
      </c>
      <c r="G271" s="944"/>
    </row>
    <row r="272" spans="1:7" ht="31">
      <c r="A272" s="974" t="s">
        <v>1125</v>
      </c>
      <c r="B272" s="970" t="s">
        <v>1365</v>
      </c>
      <c r="C272" s="954" t="s">
        <v>43</v>
      </c>
      <c r="D272" s="971">
        <v>1</v>
      </c>
      <c r="E272" s="956"/>
      <c r="F272" s="926">
        <f t="shared" si="6"/>
        <v>0</v>
      </c>
      <c r="G272" s="952"/>
    </row>
    <row r="273" spans="1:7" ht="8.25" customHeight="1">
      <c r="A273" s="972"/>
      <c r="B273" s="970"/>
      <c r="C273" s="954"/>
      <c r="D273" s="971"/>
      <c r="E273" s="956"/>
      <c r="F273" s="926">
        <f t="shared" si="6"/>
        <v>0</v>
      </c>
      <c r="G273" s="944"/>
    </row>
    <row r="274" spans="1:7" ht="17.5">
      <c r="A274" s="974" t="s">
        <v>1124</v>
      </c>
      <c r="B274" s="970" t="s">
        <v>1481</v>
      </c>
      <c r="C274" s="954" t="s">
        <v>43</v>
      </c>
      <c r="D274" s="971">
        <v>1</v>
      </c>
      <c r="E274" s="956"/>
      <c r="F274" s="926">
        <f t="shared" si="6"/>
        <v>0</v>
      </c>
      <c r="G274" s="952"/>
    </row>
    <row r="275" spans="1:7" ht="8.25" customHeight="1">
      <c r="A275" s="972"/>
      <c r="B275" s="970"/>
      <c r="C275" s="954"/>
      <c r="D275" s="971"/>
      <c r="E275" s="956"/>
      <c r="F275" s="926">
        <f t="shared" si="6"/>
        <v>0</v>
      </c>
      <c r="G275" s="944"/>
    </row>
    <row r="276" spans="1:7" ht="31">
      <c r="A276" s="974" t="s">
        <v>1123</v>
      </c>
      <c r="B276" s="970" t="s">
        <v>1366</v>
      </c>
      <c r="C276" s="971" t="s">
        <v>43</v>
      </c>
      <c r="D276" s="971">
        <v>1</v>
      </c>
      <c r="E276" s="956"/>
      <c r="F276" s="926">
        <f t="shared" si="6"/>
        <v>0</v>
      </c>
      <c r="G276" s="952"/>
    </row>
    <row r="277" spans="1:7" ht="8.25" customHeight="1">
      <c r="A277" s="972"/>
      <c r="B277" s="970"/>
      <c r="C277" s="954"/>
      <c r="D277" s="971"/>
      <c r="E277" s="956"/>
      <c r="F277" s="926">
        <f t="shared" si="6"/>
        <v>0</v>
      </c>
      <c r="G277" s="944"/>
    </row>
    <row r="278" spans="1:7" ht="31">
      <c r="A278" s="969"/>
      <c r="B278" s="977" t="s">
        <v>1394</v>
      </c>
      <c r="C278" s="954"/>
      <c r="D278" s="971"/>
      <c r="E278" s="956"/>
      <c r="F278" s="926">
        <f t="shared" si="6"/>
        <v>0</v>
      </c>
      <c r="G278" s="952"/>
    </row>
    <row r="279" spans="1:7" ht="8.25" customHeight="1">
      <c r="A279" s="972"/>
      <c r="B279" s="970"/>
      <c r="C279" s="954"/>
      <c r="D279" s="971"/>
      <c r="E279" s="956"/>
      <c r="F279" s="926">
        <f t="shared" si="6"/>
        <v>0</v>
      </c>
      <c r="G279" s="944"/>
    </row>
    <row r="280" spans="1:7" ht="31">
      <c r="A280" s="974" t="s">
        <v>1122</v>
      </c>
      <c r="B280" s="970" t="s">
        <v>1066</v>
      </c>
      <c r="C280" s="954" t="s">
        <v>43</v>
      </c>
      <c r="D280" s="971">
        <v>2</v>
      </c>
      <c r="E280" s="956"/>
      <c r="F280" s="926">
        <f t="shared" si="6"/>
        <v>0</v>
      </c>
      <c r="G280" s="952"/>
    </row>
    <row r="281" spans="1:7" ht="8.25" customHeight="1">
      <c r="A281" s="972"/>
      <c r="B281" s="970"/>
      <c r="C281" s="954"/>
      <c r="D281" s="971"/>
      <c r="E281" s="956"/>
      <c r="F281" s="926">
        <f t="shared" si="6"/>
        <v>0</v>
      </c>
      <c r="G281" s="944"/>
    </row>
    <row r="282" spans="1:7" ht="17.5">
      <c r="A282" s="969" t="s">
        <v>1121</v>
      </c>
      <c r="B282" s="970" t="s">
        <v>1482</v>
      </c>
      <c r="C282" s="954" t="s">
        <v>43</v>
      </c>
      <c r="D282" s="971">
        <v>3</v>
      </c>
      <c r="E282" s="956"/>
      <c r="F282" s="926">
        <f t="shared" si="6"/>
        <v>0</v>
      </c>
      <c r="G282" s="952"/>
    </row>
    <row r="283" spans="1:7" ht="8.25" customHeight="1">
      <c r="A283" s="972"/>
      <c r="B283" s="970"/>
      <c r="C283" s="954"/>
      <c r="D283" s="971"/>
      <c r="E283" s="956"/>
      <c r="F283" s="926">
        <f t="shared" si="6"/>
        <v>0</v>
      </c>
      <c r="G283" s="944"/>
    </row>
    <row r="284" spans="1:7" ht="31">
      <c r="A284" s="969" t="s">
        <v>1120</v>
      </c>
      <c r="B284" s="970" t="s">
        <v>1119</v>
      </c>
      <c r="C284" s="954" t="s">
        <v>43</v>
      </c>
      <c r="D284" s="971">
        <v>2</v>
      </c>
      <c r="E284" s="956"/>
      <c r="F284" s="926">
        <f t="shared" si="6"/>
        <v>0</v>
      </c>
      <c r="G284" s="952"/>
    </row>
    <row r="285" spans="1:7" ht="8.25" customHeight="1">
      <c r="A285" s="972"/>
      <c r="B285" s="970"/>
      <c r="C285" s="954"/>
      <c r="D285" s="971"/>
      <c r="E285" s="956"/>
      <c r="F285" s="926">
        <f t="shared" si="6"/>
        <v>0</v>
      </c>
      <c r="G285" s="944"/>
    </row>
    <row r="286" spans="1:7">
      <c r="A286" s="969" t="s">
        <v>1118</v>
      </c>
      <c r="B286" s="970" t="s">
        <v>1061</v>
      </c>
      <c r="C286" s="954" t="s">
        <v>43</v>
      </c>
      <c r="D286" s="971">
        <v>7</v>
      </c>
      <c r="E286" s="956"/>
      <c r="F286" s="926">
        <f t="shared" si="6"/>
        <v>0</v>
      </c>
      <c r="G286" s="952"/>
    </row>
    <row r="287" spans="1:7" ht="8.25" customHeight="1">
      <c r="A287" s="972"/>
      <c r="B287" s="970"/>
      <c r="C287" s="954"/>
      <c r="D287" s="971"/>
      <c r="E287" s="956"/>
      <c r="F287" s="926">
        <f t="shared" si="6"/>
        <v>0</v>
      </c>
      <c r="G287" s="944"/>
    </row>
    <row r="288" spans="1:7" ht="31">
      <c r="A288" s="969" t="s">
        <v>1117</v>
      </c>
      <c r="B288" s="970" t="s">
        <v>1116</v>
      </c>
      <c r="C288" s="954" t="s">
        <v>43</v>
      </c>
      <c r="D288" s="971">
        <v>1</v>
      </c>
      <c r="E288" s="956"/>
      <c r="F288" s="926">
        <f t="shared" si="6"/>
        <v>0</v>
      </c>
      <c r="G288" s="952"/>
    </row>
    <row r="289" spans="1:7" ht="8.25" customHeight="1">
      <c r="A289" s="972"/>
      <c r="B289" s="970"/>
      <c r="C289" s="954"/>
      <c r="D289" s="971"/>
      <c r="E289" s="956"/>
      <c r="F289" s="926">
        <f t="shared" si="6"/>
        <v>0</v>
      </c>
      <c r="G289" s="944"/>
    </row>
    <row r="290" spans="1:7">
      <c r="A290" s="974" t="s">
        <v>1115</v>
      </c>
      <c r="B290" s="970" t="s">
        <v>1114</v>
      </c>
      <c r="C290" s="954" t="s">
        <v>43</v>
      </c>
      <c r="D290" s="971">
        <v>3</v>
      </c>
      <c r="E290" s="956"/>
      <c r="F290" s="926">
        <f t="shared" si="6"/>
        <v>0</v>
      </c>
      <c r="G290" s="952"/>
    </row>
    <row r="291" spans="1:7" ht="8.25" customHeight="1">
      <c r="A291" s="972"/>
      <c r="B291" s="970"/>
      <c r="C291" s="954"/>
      <c r="D291" s="971"/>
      <c r="E291" s="956"/>
      <c r="F291" s="926">
        <f t="shared" si="6"/>
        <v>0</v>
      </c>
      <c r="G291" s="944"/>
    </row>
    <row r="292" spans="1:7" ht="40.75" customHeight="1">
      <c r="A292" s="974" t="s">
        <v>1113</v>
      </c>
      <c r="B292" s="982" t="s">
        <v>1112</v>
      </c>
      <c r="C292" s="954" t="s">
        <v>43</v>
      </c>
      <c r="D292" s="971">
        <v>2</v>
      </c>
      <c r="E292" s="956"/>
      <c r="F292" s="926">
        <f t="shared" si="6"/>
        <v>0</v>
      </c>
      <c r="G292" s="952"/>
    </row>
    <row r="293" spans="1:7" ht="8.25" customHeight="1">
      <c r="A293" s="972"/>
      <c r="B293" s="970"/>
      <c r="C293" s="954"/>
      <c r="D293" s="971"/>
      <c r="E293" s="956"/>
      <c r="F293" s="926"/>
      <c r="G293" s="944"/>
    </row>
    <row r="294" spans="1:7">
      <c r="A294" s="974" t="s">
        <v>1111</v>
      </c>
      <c r="B294" s="982" t="s">
        <v>1053</v>
      </c>
      <c r="C294" s="954" t="s">
        <v>43</v>
      </c>
      <c r="D294" s="971">
        <v>1</v>
      </c>
      <c r="E294" s="956"/>
      <c r="F294" s="1116">
        <f>E294*D294</f>
        <v>0</v>
      </c>
      <c r="G294" s="952"/>
    </row>
    <row r="295" spans="1:7" ht="8.25" customHeight="1">
      <c r="A295" s="972"/>
      <c r="B295" s="970"/>
      <c r="C295" s="954"/>
      <c r="D295" s="971"/>
      <c r="E295" s="956"/>
      <c r="F295" s="926"/>
      <c r="G295" s="944"/>
    </row>
    <row r="296" spans="1:7" ht="31">
      <c r="A296" s="974" t="s">
        <v>1110</v>
      </c>
      <c r="B296" s="970" t="s">
        <v>1051</v>
      </c>
      <c r="C296" s="954" t="s">
        <v>43</v>
      </c>
      <c r="D296" s="971">
        <v>1</v>
      </c>
      <c r="E296" s="956"/>
      <c r="F296" s="975">
        <f t="shared" ref="F296:F316" si="7">E296*D296</f>
        <v>0</v>
      </c>
      <c r="G296" s="952"/>
    </row>
    <row r="297" spans="1:7">
      <c r="A297" s="974" t="s">
        <v>1109</v>
      </c>
      <c r="B297" s="970" t="s">
        <v>1049</v>
      </c>
      <c r="C297" s="954" t="s">
        <v>43</v>
      </c>
      <c r="D297" s="971">
        <v>1</v>
      </c>
      <c r="E297" s="956"/>
      <c r="F297" s="975">
        <f t="shared" si="7"/>
        <v>0</v>
      </c>
      <c r="G297" s="952"/>
    </row>
    <row r="298" spans="1:7" ht="8.25" customHeight="1">
      <c r="A298" s="972"/>
      <c r="B298" s="970"/>
      <c r="C298" s="954"/>
      <c r="D298" s="971"/>
      <c r="E298" s="956"/>
      <c r="F298" s="975">
        <f t="shared" si="7"/>
        <v>0</v>
      </c>
      <c r="G298" s="944"/>
    </row>
    <row r="299" spans="1:7" ht="31">
      <c r="A299" s="974" t="s">
        <v>1108</v>
      </c>
      <c r="B299" s="970" t="s">
        <v>1047</v>
      </c>
      <c r="C299" s="954" t="s">
        <v>43</v>
      </c>
      <c r="D299" s="971">
        <v>1</v>
      </c>
      <c r="E299" s="956"/>
      <c r="F299" s="975">
        <f t="shared" si="7"/>
        <v>0</v>
      </c>
      <c r="G299" s="952"/>
    </row>
    <row r="300" spans="1:7" ht="8.25" customHeight="1">
      <c r="A300" s="972"/>
      <c r="B300" s="970"/>
      <c r="C300" s="954"/>
      <c r="D300" s="971"/>
      <c r="E300" s="956"/>
      <c r="F300" s="975">
        <f t="shared" si="7"/>
        <v>0</v>
      </c>
      <c r="G300" s="944"/>
    </row>
    <row r="301" spans="1:7" ht="31">
      <c r="A301" s="974" t="s">
        <v>1107</v>
      </c>
      <c r="B301" s="970" t="s">
        <v>1106</v>
      </c>
      <c r="C301" s="954" t="s">
        <v>43</v>
      </c>
      <c r="D301" s="971">
        <v>1</v>
      </c>
      <c r="E301" s="956"/>
      <c r="F301" s="975">
        <f t="shared" si="7"/>
        <v>0</v>
      </c>
      <c r="G301" s="952"/>
    </row>
    <row r="302" spans="1:7">
      <c r="A302" s="974"/>
      <c r="B302" s="970"/>
      <c r="C302" s="954"/>
      <c r="D302" s="971"/>
      <c r="E302" s="956"/>
      <c r="F302" s="975"/>
      <c r="G302" s="980"/>
    </row>
    <row r="303" spans="1:7">
      <c r="A303" s="974"/>
      <c r="B303" s="970"/>
      <c r="C303" s="954"/>
      <c r="D303" s="971"/>
      <c r="E303" s="956"/>
      <c r="F303" s="975"/>
      <c r="G303" s="980"/>
    </row>
    <row r="304" spans="1:7">
      <c r="A304" s="974"/>
      <c r="B304" s="970"/>
      <c r="C304" s="954"/>
      <c r="D304" s="971"/>
      <c r="E304" s="956"/>
      <c r="F304" s="975"/>
      <c r="G304" s="980"/>
    </row>
    <row r="305" spans="1:7" ht="16" thickBot="1">
      <c r="A305" s="1562" t="s">
        <v>966</v>
      </c>
      <c r="B305" s="1563"/>
      <c r="C305" s="1563"/>
      <c r="D305" s="1563"/>
      <c r="E305" s="1564"/>
      <c r="F305" s="976">
        <f>SUM(F260:F301)</f>
        <v>0</v>
      </c>
      <c r="G305" s="944"/>
    </row>
    <row r="306" spans="1:7" ht="16" thickTop="1">
      <c r="A306" s="1107"/>
      <c r="B306" s="1111"/>
      <c r="C306" s="1108"/>
      <c r="D306" s="1110"/>
      <c r="E306" s="1111"/>
      <c r="F306" s="1109"/>
      <c r="G306" s="944"/>
    </row>
    <row r="307" spans="1:7" ht="31">
      <c r="A307" s="974" t="s">
        <v>1105</v>
      </c>
      <c r="B307" s="970" t="s">
        <v>1104</v>
      </c>
      <c r="C307" s="954" t="s">
        <v>43</v>
      </c>
      <c r="D307" s="971">
        <v>1</v>
      </c>
      <c r="E307" s="956"/>
      <c r="F307" s="975">
        <f t="shared" si="7"/>
        <v>0</v>
      </c>
      <c r="G307" s="952"/>
    </row>
    <row r="308" spans="1:7" ht="8.25" customHeight="1">
      <c r="A308" s="974"/>
      <c r="B308" s="982"/>
      <c r="C308" s="954"/>
      <c r="D308" s="971"/>
      <c r="E308" s="956"/>
      <c r="F308" s="975">
        <f t="shared" si="7"/>
        <v>0</v>
      </c>
      <c r="G308" s="952"/>
    </row>
    <row r="309" spans="1:7" ht="31">
      <c r="A309" s="974" t="s">
        <v>1103</v>
      </c>
      <c r="B309" s="970" t="s">
        <v>1041</v>
      </c>
      <c r="C309" s="954" t="s">
        <v>43</v>
      </c>
      <c r="D309" s="971">
        <v>1</v>
      </c>
      <c r="E309" s="956"/>
      <c r="F309" s="975">
        <f t="shared" si="7"/>
        <v>0</v>
      </c>
      <c r="G309" s="952"/>
    </row>
    <row r="310" spans="1:7" ht="8.25" customHeight="1">
      <c r="A310" s="972"/>
      <c r="B310" s="970"/>
      <c r="C310" s="954"/>
      <c r="D310" s="971"/>
      <c r="E310" s="956"/>
      <c r="F310" s="975">
        <f t="shared" si="7"/>
        <v>0</v>
      </c>
      <c r="G310" s="944"/>
    </row>
    <row r="311" spans="1:7" ht="31">
      <c r="A311" s="974" t="s">
        <v>1102</v>
      </c>
      <c r="B311" s="970" t="s">
        <v>174</v>
      </c>
      <c r="C311" s="954" t="s">
        <v>43</v>
      </c>
      <c r="D311" s="971">
        <v>1</v>
      </c>
      <c r="E311" s="956"/>
      <c r="F311" s="975">
        <f t="shared" si="7"/>
        <v>0</v>
      </c>
      <c r="G311" s="952"/>
    </row>
    <row r="312" spans="1:7" ht="8.25" customHeight="1">
      <c r="A312" s="972"/>
      <c r="B312" s="970"/>
      <c r="C312" s="954"/>
      <c r="D312" s="971"/>
      <c r="E312" s="956"/>
      <c r="F312" s="975">
        <f t="shared" si="7"/>
        <v>0</v>
      </c>
      <c r="G312" s="944"/>
    </row>
    <row r="313" spans="1:7" ht="31">
      <c r="A313" s="974" t="s">
        <v>1101</v>
      </c>
      <c r="B313" s="970" t="s">
        <v>175</v>
      </c>
      <c r="C313" s="954" t="s">
        <v>43</v>
      </c>
      <c r="D313" s="971">
        <v>1</v>
      </c>
      <c r="E313" s="983"/>
      <c r="F313" s="975">
        <f t="shared" si="7"/>
        <v>0</v>
      </c>
      <c r="G313" s="952"/>
    </row>
    <row r="314" spans="1:7" ht="8.25" customHeight="1">
      <c r="A314" s="972"/>
      <c r="B314" s="970"/>
      <c r="C314" s="954"/>
      <c r="D314" s="971"/>
      <c r="E314" s="956"/>
      <c r="F314" s="975">
        <f t="shared" si="7"/>
        <v>0</v>
      </c>
      <c r="G314" s="944"/>
    </row>
    <row r="315" spans="1:7" ht="31">
      <c r="A315" s="974" t="s">
        <v>1100</v>
      </c>
      <c r="B315" s="970" t="s">
        <v>1035</v>
      </c>
      <c r="C315" s="954" t="s">
        <v>43</v>
      </c>
      <c r="D315" s="971">
        <v>1</v>
      </c>
      <c r="E315" s="956"/>
      <c r="F315" s="975">
        <f t="shared" si="7"/>
        <v>0</v>
      </c>
      <c r="G315" s="952"/>
    </row>
    <row r="316" spans="1:7">
      <c r="A316" s="972"/>
      <c r="B316" s="970"/>
      <c r="C316" s="954"/>
      <c r="D316" s="971"/>
      <c r="E316" s="956"/>
      <c r="F316" s="975">
        <f t="shared" si="7"/>
        <v>0</v>
      </c>
      <c r="G316" s="944"/>
    </row>
    <row r="317" spans="1:7" ht="31">
      <c r="A317" s="969"/>
      <c r="B317" s="977" t="s">
        <v>1395</v>
      </c>
      <c r="C317" s="954"/>
      <c r="D317" s="971"/>
      <c r="E317" s="956"/>
      <c r="F317" s="975">
        <f t="shared" ref="F317:F333" si="8">E317*D317</f>
        <v>0</v>
      </c>
      <c r="G317" s="952"/>
    </row>
    <row r="318" spans="1:7" ht="8.25" customHeight="1">
      <c r="A318" s="972"/>
      <c r="B318" s="970"/>
      <c r="C318" s="954"/>
      <c r="D318" s="971"/>
      <c r="E318" s="956"/>
      <c r="F318" s="975">
        <f t="shared" si="8"/>
        <v>0</v>
      </c>
      <c r="G318" s="944"/>
    </row>
    <row r="319" spans="1:7" ht="37.75" customHeight="1">
      <c r="A319" s="974" t="s">
        <v>1099</v>
      </c>
      <c r="B319" s="981" t="s">
        <v>1098</v>
      </c>
      <c r="C319" s="954" t="s">
        <v>43</v>
      </c>
      <c r="D319" s="971">
        <v>2</v>
      </c>
      <c r="E319" s="956"/>
      <c r="F319" s="975">
        <f t="shared" si="8"/>
        <v>0</v>
      </c>
      <c r="G319" s="952"/>
    </row>
    <row r="320" spans="1:7" ht="8.25" customHeight="1">
      <c r="A320" s="972"/>
      <c r="B320" s="970"/>
      <c r="C320" s="954"/>
      <c r="D320" s="971"/>
      <c r="E320" s="956"/>
      <c r="F320" s="975">
        <f t="shared" si="8"/>
        <v>0</v>
      </c>
      <c r="G320" s="944"/>
    </row>
    <row r="321" spans="1:7">
      <c r="A321" s="974" t="s">
        <v>1097</v>
      </c>
      <c r="B321" s="970" t="s">
        <v>1030</v>
      </c>
      <c r="C321" s="954" t="s">
        <v>43</v>
      </c>
      <c r="D321" s="971">
        <v>2</v>
      </c>
      <c r="E321" s="956"/>
      <c r="F321" s="975">
        <f t="shared" si="8"/>
        <v>0</v>
      </c>
      <c r="G321" s="952"/>
    </row>
    <row r="322" spans="1:7" ht="8.25" customHeight="1">
      <c r="A322" s="972"/>
      <c r="B322" s="970"/>
      <c r="C322" s="954"/>
      <c r="D322" s="971"/>
      <c r="E322" s="956"/>
      <c r="F322" s="975">
        <f t="shared" si="8"/>
        <v>0</v>
      </c>
      <c r="G322" s="944"/>
    </row>
    <row r="323" spans="1:7" ht="31">
      <c r="A323" s="974" t="s">
        <v>1096</v>
      </c>
      <c r="B323" s="981" t="s">
        <v>1095</v>
      </c>
      <c r="C323" s="954" t="s">
        <v>43</v>
      </c>
      <c r="D323" s="971">
        <v>2</v>
      </c>
      <c r="E323" s="956"/>
      <c r="F323" s="975">
        <f t="shared" si="8"/>
        <v>0</v>
      </c>
      <c r="G323" s="952"/>
    </row>
    <row r="324" spans="1:7" ht="8.25" customHeight="1">
      <c r="A324" s="972"/>
      <c r="B324" s="970"/>
      <c r="C324" s="954"/>
      <c r="D324" s="971"/>
      <c r="E324" s="956"/>
      <c r="F324" s="975">
        <f t="shared" si="8"/>
        <v>0</v>
      </c>
      <c r="G324" s="944"/>
    </row>
    <row r="325" spans="1:7" ht="31">
      <c r="A325" s="974" t="s">
        <v>1094</v>
      </c>
      <c r="B325" s="970" t="s">
        <v>1093</v>
      </c>
      <c r="C325" s="954" t="s">
        <v>43</v>
      </c>
      <c r="D325" s="971">
        <v>2</v>
      </c>
      <c r="E325" s="956"/>
      <c r="F325" s="975">
        <f t="shared" si="8"/>
        <v>0</v>
      </c>
      <c r="G325" s="952"/>
    </row>
    <row r="326" spans="1:7" ht="8.25" customHeight="1">
      <c r="A326" s="972"/>
      <c r="B326" s="970"/>
      <c r="C326" s="954"/>
      <c r="D326" s="971"/>
      <c r="E326" s="956"/>
      <c r="F326" s="975">
        <f t="shared" si="8"/>
        <v>0</v>
      </c>
      <c r="G326" s="944"/>
    </row>
    <row r="327" spans="1:7" ht="17.5">
      <c r="A327" s="974" t="s">
        <v>1092</v>
      </c>
      <c r="B327" s="970" t="s">
        <v>1483</v>
      </c>
      <c r="C327" s="954" t="s">
        <v>43</v>
      </c>
      <c r="D327" s="971">
        <v>2</v>
      </c>
      <c r="E327" s="956"/>
      <c r="F327" s="975">
        <f t="shared" si="8"/>
        <v>0</v>
      </c>
      <c r="G327" s="952"/>
    </row>
    <row r="328" spans="1:7" ht="8.25" customHeight="1">
      <c r="A328" s="972"/>
      <c r="B328" s="970"/>
      <c r="C328" s="954"/>
      <c r="D328" s="971"/>
      <c r="E328" s="956"/>
      <c r="F328" s="975">
        <f t="shared" si="8"/>
        <v>0</v>
      </c>
      <c r="G328" s="944"/>
    </row>
    <row r="329" spans="1:7" ht="31">
      <c r="A329" s="974"/>
      <c r="B329" s="977" t="s">
        <v>1396</v>
      </c>
      <c r="C329" s="954"/>
      <c r="D329" s="971"/>
      <c r="E329" s="956"/>
      <c r="F329" s="975">
        <f t="shared" si="8"/>
        <v>0</v>
      </c>
      <c r="G329" s="952"/>
    </row>
    <row r="330" spans="1:7" ht="8.25" customHeight="1">
      <c r="A330" s="972"/>
      <c r="B330" s="970"/>
      <c r="C330" s="954"/>
      <c r="D330" s="971"/>
      <c r="E330" s="956"/>
      <c r="F330" s="975">
        <f t="shared" si="8"/>
        <v>0</v>
      </c>
      <c r="G330" s="944"/>
    </row>
    <row r="331" spans="1:7" ht="31">
      <c r="A331" s="974" t="s">
        <v>1091</v>
      </c>
      <c r="B331" s="970" t="s">
        <v>1090</v>
      </c>
      <c r="C331" s="954" t="s">
        <v>43</v>
      </c>
      <c r="D331" s="971">
        <v>2</v>
      </c>
      <c r="E331" s="956"/>
      <c r="F331" s="975">
        <f t="shared" si="8"/>
        <v>0</v>
      </c>
      <c r="G331" s="952"/>
    </row>
    <row r="332" spans="1:7" ht="8.25" customHeight="1">
      <c r="A332" s="972"/>
      <c r="B332" s="970"/>
      <c r="C332" s="954"/>
      <c r="D332" s="971"/>
      <c r="E332" s="956"/>
      <c r="F332" s="975">
        <f t="shared" si="8"/>
        <v>0</v>
      </c>
      <c r="G332" s="944"/>
    </row>
    <row r="333" spans="1:7" ht="17.5">
      <c r="A333" s="974" t="s">
        <v>1089</v>
      </c>
      <c r="B333" s="970" t="s">
        <v>1484</v>
      </c>
      <c r="C333" s="954" t="s">
        <v>43</v>
      </c>
      <c r="D333" s="971">
        <v>2</v>
      </c>
      <c r="E333" s="956"/>
      <c r="F333" s="975">
        <f t="shared" si="8"/>
        <v>0</v>
      </c>
      <c r="G333" s="952"/>
    </row>
    <row r="334" spans="1:7" ht="8.25" customHeight="1">
      <c r="A334" s="972"/>
      <c r="B334" s="970"/>
      <c r="C334" s="954"/>
      <c r="D334" s="971"/>
      <c r="E334" s="956"/>
      <c r="F334" s="975">
        <f>E334*D334</f>
        <v>0</v>
      </c>
      <c r="G334" s="944"/>
    </row>
    <row r="335" spans="1:7" ht="31">
      <c r="A335" s="974" t="s">
        <v>1088</v>
      </c>
      <c r="B335" s="970" t="s">
        <v>1020</v>
      </c>
      <c r="C335" s="954" t="s">
        <v>43</v>
      </c>
      <c r="D335" s="971">
        <v>2</v>
      </c>
      <c r="E335" s="956"/>
      <c r="F335" s="975">
        <f>E335*D335</f>
        <v>0</v>
      </c>
      <c r="G335" s="952"/>
    </row>
    <row r="336" spans="1:7" ht="8.25" customHeight="1">
      <c r="A336" s="972"/>
      <c r="B336" s="970"/>
      <c r="C336" s="954"/>
      <c r="D336" s="971"/>
      <c r="E336" s="956"/>
      <c r="F336" s="926"/>
      <c r="G336" s="944"/>
    </row>
    <row r="337" spans="1:7" ht="8.25" customHeight="1">
      <c r="A337" s="972"/>
      <c r="B337" s="970"/>
      <c r="C337" s="954"/>
      <c r="D337" s="971"/>
      <c r="E337" s="956"/>
      <c r="F337" s="926"/>
      <c r="G337" s="944"/>
    </row>
    <row r="338" spans="1:7" ht="31">
      <c r="A338" s="969"/>
      <c r="B338" s="977" t="s">
        <v>1393</v>
      </c>
      <c r="C338" s="954"/>
      <c r="D338" s="971"/>
      <c r="E338" s="956"/>
      <c r="F338" s="926"/>
      <c r="G338" s="952"/>
    </row>
    <row r="339" spans="1:7" ht="8.25" customHeight="1">
      <c r="A339" s="972"/>
      <c r="B339" s="970"/>
      <c r="C339" s="954"/>
      <c r="D339" s="971"/>
      <c r="E339" s="956"/>
      <c r="F339" s="926"/>
      <c r="G339" s="944"/>
    </row>
    <row r="340" spans="1:7">
      <c r="A340" s="969" t="s">
        <v>1087</v>
      </c>
      <c r="B340" s="970" t="s">
        <v>1350</v>
      </c>
      <c r="C340" s="954" t="s">
        <v>43</v>
      </c>
      <c r="D340" s="971">
        <v>3</v>
      </c>
      <c r="E340" s="956"/>
      <c r="F340" s="926">
        <f t="shared" ref="F340:F386" si="9">E340*D340</f>
        <v>0</v>
      </c>
      <c r="G340" s="952"/>
    </row>
    <row r="341" spans="1:7" ht="8.25" customHeight="1">
      <c r="A341" s="974"/>
      <c r="B341" s="970"/>
      <c r="C341" s="954"/>
      <c r="D341" s="971"/>
      <c r="E341" s="956"/>
      <c r="F341" s="926">
        <f t="shared" si="9"/>
        <v>0</v>
      </c>
      <c r="G341" s="952"/>
    </row>
    <row r="342" spans="1:7">
      <c r="A342" s="969" t="s">
        <v>1086</v>
      </c>
      <c r="B342" s="970" t="s">
        <v>1351</v>
      </c>
      <c r="C342" s="971" t="s">
        <v>43</v>
      </c>
      <c r="D342" s="971">
        <v>2</v>
      </c>
      <c r="E342" s="956"/>
      <c r="F342" s="926">
        <f t="shared" si="9"/>
        <v>0</v>
      </c>
      <c r="G342" s="952"/>
    </row>
    <row r="343" spans="1:7" ht="8.25" customHeight="1">
      <c r="A343" s="972"/>
      <c r="B343" s="970"/>
      <c r="C343" s="954"/>
      <c r="D343" s="971"/>
      <c r="E343" s="956"/>
      <c r="F343" s="926">
        <f t="shared" si="9"/>
        <v>0</v>
      </c>
      <c r="G343" s="944"/>
    </row>
    <row r="344" spans="1:7" ht="18" customHeight="1">
      <c r="A344" s="969" t="s">
        <v>1085</v>
      </c>
      <c r="B344" s="970" t="s">
        <v>1479</v>
      </c>
      <c r="C344" s="954" t="s">
        <v>43</v>
      </c>
      <c r="D344" s="971">
        <v>1</v>
      </c>
      <c r="E344" s="956"/>
      <c r="F344" s="926">
        <f t="shared" si="9"/>
        <v>0</v>
      </c>
      <c r="G344" s="952"/>
    </row>
    <row r="345" spans="1:7" ht="8.25" customHeight="1">
      <c r="A345" s="972"/>
      <c r="B345" s="970"/>
      <c r="C345" s="954"/>
      <c r="D345" s="971"/>
      <c r="E345" s="956"/>
      <c r="F345" s="926">
        <f t="shared" si="9"/>
        <v>0</v>
      </c>
      <c r="G345" s="944"/>
    </row>
    <row r="346" spans="1:7" ht="31">
      <c r="A346" s="969" t="s">
        <v>1084</v>
      </c>
      <c r="B346" s="970" t="s">
        <v>1367</v>
      </c>
      <c r="C346" s="971" t="s">
        <v>43</v>
      </c>
      <c r="D346" s="971">
        <v>1</v>
      </c>
      <c r="E346" s="956"/>
      <c r="F346" s="926">
        <f t="shared" si="9"/>
        <v>0</v>
      </c>
      <c r="G346" s="952"/>
    </row>
    <row r="347" spans="1:7" ht="8.25" customHeight="1">
      <c r="A347" s="972"/>
      <c r="B347" s="970"/>
      <c r="C347" s="954"/>
      <c r="D347" s="971"/>
      <c r="E347" s="956"/>
      <c r="F347" s="926">
        <f t="shared" si="9"/>
        <v>0</v>
      </c>
      <c r="G347" s="944"/>
    </row>
    <row r="348" spans="1:7" ht="8.25" customHeight="1">
      <c r="A348" s="972"/>
      <c r="B348" s="970"/>
      <c r="C348" s="954"/>
      <c r="D348" s="971"/>
      <c r="E348" s="956"/>
      <c r="F348" s="926"/>
      <c r="G348" s="944"/>
    </row>
    <row r="349" spans="1:7" ht="8.25" customHeight="1">
      <c r="A349" s="972"/>
      <c r="B349" s="970"/>
      <c r="C349" s="954"/>
      <c r="D349" s="971"/>
      <c r="E349" s="956"/>
      <c r="F349" s="926"/>
      <c r="G349" s="944"/>
    </row>
    <row r="350" spans="1:7" ht="8.25" customHeight="1">
      <c r="A350" s="972"/>
      <c r="B350" s="970"/>
      <c r="C350" s="954"/>
      <c r="D350" s="971"/>
      <c r="E350" s="956"/>
      <c r="F350" s="926"/>
      <c r="G350" s="944"/>
    </row>
    <row r="351" spans="1:7" ht="8.25" customHeight="1">
      <c r="A351" s="972"/>
      <c r="B351" s="970"/>
      <c r="C351" s="954"/>
      <c r="D351" s="971"/>
      <c r="E351" s="956"/>
      <c r="F351" s="926"/>
      <c r="G351" s="944"/>
    </row>
    <row r="352" spans="1:7" ht="8.25" customHeight="1">
      <c r="A352" s="972"/>
      <c r="B352" s="970"/>
      <c r="C352" s="954"/>
      <c r="D352" s="971"/>
      <c r="E352" s="956"/>
      <c r="F352" s="926"/>
      <c r="G352" s="944"/>
    </row>
    <row r="353" spans="1:7" ht="8.25" customHeight="1">
      <c r="A353" s="972"/>
      <c r="B353" s="970"/>
      <c r="C353" s="954"/>
      <c r="D353" s="971"/>
      <c r="E353" s="956"/>
      <c r="F353" s="926"/>
      <c r="G353" s="944"/>
    </row>
    <row r="354" spans="1:7" ht="16" thickBot="1">
      <c r="A354" s="1562" t="s">
        <v>966</v>
      </c>
      <c r="B354" s="1563"/>
      <c r="C354" s="1563"/>
      <c r="D354" s="1563"/>
      <c r="E354" s="1564"/>
      <c r="F354" s="976">
        <f>SUM(F307:F346)</f>
        <v>0</v>
      </c>
      <c r="G354" s="944"/>
    </row>
    <row r="355" spans="1:7" ht="8.25" customHeight="1" thickTop="1">
      <c r="A355" s="972"/>
      <c r="B355" s="970"/>
      <c r="C355" s="954"/>
      <c r="D355" s="971"/>
      <c r="E355" s="956"/>
      <c r="F355" s="926"/>
      <c r="G355" s="944"/>
    </row>
    <row r="356" spans="1:7" ht="31">
      <c r="A356" s="969" t="s">
        <v>1083</v>
      </c>
      <c r="B356" s="970" t="s">
        <v>1368</v>
      </c>
      <c r="C356" s="971" t="s">
        <v>43</v>
      </c>
      <c r="D356" s="971">
        <v>1</v>
      </c>
      <c r="E356" s="956"/>
      <c r="F356" s="926">
        <f t="shared" si="9"/>
        <v>0</v>
      </c>
      <c r="G356" s="952"/>
    </row>
    <row r="357" spans="1:7" ht="8.25" customHeight="1">
      <c r="A357" s="972"/>
      <c r="B357" s="970"/>
      <c r="C357" s="954"/>
      <c r="D357" s="971"/>
      <c r="E357" s="956"/>
      <c r="F357" s="926">
        <f t="shared" si="9"/>
        <v>0</v>
      </c>
      <c r="G357" s="944"/>
    </row>
    <row r="358" spans="1:7">
      <c r="A358" s="969" t="s">
        <v>1082</v>
      </c>
      <c r="B358" s="970" t="s">
        <v>1354</v>
      </c>
      <c r="C358" s="971" t="s">
        <v>43</v>
      </c>
      <c r="D358" s="971">
        <v>1</v>
      </c>
      <c r="E358" s="956"/>
      <c r="F358" s="926">
        <f t="shared" si="9"/>
        <v>0</v>
      </c>
      <c r="G358" s="952"/>
    </row>
    <row r="359" spans="1:7" ht="8.25" customHeight="1">
      <c r="A359" s="972"/>
      <c r="B359" s="970"/>
      <c r="C359" s="954"/>
      <c r="D359" s="971"/>
      <c r="E359" s="956"/>
      <c r="F359" s="926">
        <f t="shared" si="9"/>
        <v>0</v>
      </c>
      <c r="G359" s="944"/>
    </row>
    <row r="360" spans="1:7" ht="31">
      <c r="A360" s="969" t="s">
        <v>1081</v>
      </c>
      <c r="B360" s="970" t="s">
        <v>1369</v>
      </c>
      <c r="C360" s="971" t="s">
        <v>43</v>
      </c>
      <c r="D360" s="971">
        <v>2</v>
      </c>
      <c r="E360" s="956"/>
      <c r="F360" s="926">
        <f t="shared" si="9"/>
        <v>0</v>
      </c>
      <c r="G360" s="952"/>
    </row>
    <row r="361" spans="1:7" ht="8.25" customHeight="1">
      <c r="A361" s="972"/>
      <c r="B361" s="970"/>
      <c r="C361" s="954"/>
      <c r="D361" s="971"/>
      <c r="E361" s="956"/>
      <c r="F361" s="926">
        <f t="shared" si="9"/>
        <v>0</v>
      </c>
      <c r="G361" s="944"/>
    </row>
    <row r="362" spans="1:7">
      <c r="A362" s="969" t="s">
        <v>1080</v>
      </c>
      <c r="B362" s="970" t="s">
        <v>1356</v>
      </c>
      <c r="C362" s="954" t="s">
        <v>43</v>
      </c>
      <c r="D362" s="971">
        <v>3</v>
      </c>
      <c r="E362" s="956"/>
      <c r="F362" s="926">
        <f t="shared" si="9"/>
        <v>0</v>
      </c>
      <c r="G362" s="952"/>
    </row>
    <row r="363" spans="1:7" ht="8.25" customHeight="1">
      <c r="A363" s="972"/>
      <c r="B363" s="970"/>
      <c r="C363" s="954"/>
      <c r="D363" s="971"/>
      <c r="E363" s="956"/>
      <c r="F363" s="926">
        <f t="shared" si="9"/>
        <v>0</v>
      </c>
      <c r="G363" s="944"/>
    </row>
    <row r="364" spans="1:7" ht="31">
      <c r="A364" s="969" t="s">
        <v>1079</v>
      </c>
      <c r="B364" s="970" t="s">
        <v>1357</v>
      </c>
      <c r="C364" s="971" t="s">
        <v>43</v>
      </c>
      <c r="D364" s="971">
        <v>1</v>
      </c>
      <c r="E364" s="956"/>
      <c r="F364" s="926">
        <f t="shared" si="9"/>
        <v>0</v>
      </c>
      <c r="G364" s="952"/>
    </row>
    <row r="365" spans="1:7" ht="8.25" customHeight="1">
      <c r="A365" s="972"/>
      <c r="B365" s="970"/>
      <c r="C365" s="954"/>
      <c r="D365" s="971"/>
      <c r="E365" s="956"/>
      <c r="F365" s="926">
        <f t="shared" si="9"/>
        <v>0</v>
      </c>
      <c r="G365" s="944"/>
    </row>
    <row r="366" spans="1:7" ht="18" customHeight="1">
      <c r="A366" s="969" t="s">
        <v>1078</v>
      </c>
      <c r="B366" s="970" t="s">
        <v>1485</v>
      </c>
      <c r="C366" s="971" t="s">
        <v>43</v>
      </c>
      <c r="D366" s="971">
        <v>4</v>
      </c>
      <c r="E366" s="956"/>
      <c r="F366" s="926">
        <f t="shared" si="9"/>
        <v>0</v>
      </c>
      <c r="G366" s="952"/>
    </row>
    <row r="367" spans="1:7" ht="8.25" customHeight="1">
      <c r="A367" s="972"/>
      <c r="B367" s="970"/>
      <c r="C367" s="954"/>
      <c r="D367" s="971"/>
      <c r="E367" s="956"/>
      <c r="F367" s="926">
        <f t="shared" si="9"/>
        <v>0</v>
      </c>
      <c r="G367" s="944"/>
    </row>
    <row r="368" spans="1:7" ht="31">
      <c r="A368" s="969" t="s">
        <v>1077</v>
      </c>
      <c r="B368" s="970" t="s">
        <v>1370</v>
      </c>
      <c r="C368" s="971" t="s">
        <v>43</v>
      </c>
      <c r="D368" s="971">
        <v>2</v>
      </c>
      <c r="E368" s="956"/>
      <c r="F368" s="926">
        <f t="shared" si="9"/>
        <v>0</v>
      </c>
      <c r="G368" s="952"/>
    </row>
    <row r="369" spans="1:7" ht="8.25" customHeight="1">
      <c r="A369" s="972"/>
      <c r="B369" s="970"/>
      <c r="C369" s="954"/>
      <c r="D369" s="971"/>
      <c r="E369" s="956"/>
      <c r="F369" s="926">
        <f t="shared" si="9"/>
        <v>0</v>
      </c>
      <c r="G369" s="944"/>
    </row>
    <row r="370" spans="1:7" ht="31">
      <c r="A370" s="969" t="s">
        <v>1076</v>
      </c>
      <c r="B370" s="970" t="s">
        <v>1359</v>
      </c>
      <c r="C370" s="971" t="s">
        <v>43</v>
      </c>
      <c r="D370" s="971">
        <v>2</v>
      </c>
      <c r="E370" s="956"/>
      <c r="F370" s="926">
        <f t="shared" si="9"/>
        <v>0</v>
      </c>
      <c r="G370" s="952"/>
    </row>
    <row r="371" spans="1:7" ht="8.25" customHeight="1">
      <c r="A371" s="972"/>
      <c r="B371" s="970"/>
      <c r="C371" s="954"/>
      <c r="D371" s="971"/>
      <c r="E371" s="956"/>
      <c r="F371" s="926">
        <f t="shared" si="9"/>
        <v>0</v>
      </c>
      <c r="G371" s="944"/>
    </row>
    <row r="372" spans="1:7">
      <c r="A372" s="969" t="s">
        <v>1075</v>
      </c>
      <c r="B372" s="970" t="s">
        <v>1360</v>
      </c>
      <c r="C372" s="971" t="s">
        <v>43</v>
      </c>
      <c r="D372" s="971">
        <v>2</v>
      </c>
      <c r="E372" s="956"/>
      <c r="F372" s="926">
        <f t="shared" si="9"/>
        <v>0</v>
      </c>
      <c r="G372" s="952"/>
    </row>
    <row r="373" spans="1:7" ht="8.25" customHeight="1">
      <c r="A373" s="972"/>
      <c r="B373" s="970"/>
      <c r="C373" s="954"/>
      <c r="D373" s="971"/>
      <c r="E373" s="956"/>
      <c r="F373" s="926">
        <f t="shared" si="9"/>
        <v>0</v>
      </c>
      <c r="G373" s="944"/>
    </row>
    <row r="374" spans="1:7" ht="15" customHeight="1">
      <c r="A374" s="969" t="s">
        <v>1074</v>
      </c>
      <c r="B374" s="970" t="s">
        <v>1371</v>
      </c>
      <c r="C374" s="971" t="s">
        <v>43</v>
      </c>
      <c r="D374" s="971">
        <v>1</v>
      </c>
      <c r="E374" s="956"/>
      <c r="F374" s="926">
        <f t="shared" si="9"/>
        <v>0</v>
      </c>
      <c r="G374" s="952"/>
    </row>
    <row r="375" spans="1:7" ht="8.25" customHeight="1">
      <c r="A375" s="972"/>
      <c r="B375" s="970"/>
      <c r="C375" s="954"/>
      <c r="D375" s="971"/>
      <c r="E375" s="956"/>
      <c r="F375" s="926">
        <f t="shared" si="9"/>
        <v>0</v>
      </c>
      <c r="G375" s="944"/>
    </row>
    <row r="376" spans="1:7" ht="31">
      <c r="A376" s="969" t="s">
        <v>1073</v>
      </c>
      <c r="B376" s="970" t="s">
        <v>1372</v>
      </c>
      <c r="C376" s="971" t="s">
        <v>43</v>
      </c>
      <c r="D376" s="971">
        <v>1</v>
      </c>
      <c r="E376" s="956"/>
      <c r="F376" s="926">
        <f t="shared" si="9"/>
        <v>0</v>
      </c>
      <c r="G376" s="952"/>
    </row>
    <row r="377" spans="1:7" ht="8.25" customHeight="1">
      <c r="A377" s="972"/>
      <c r="B377" s="970"/>
      <c r="C377" s="954"/>
      <c r="D377" s="971"/>
      <c r="E377" s="956"/>
      <c r="F377" s="926">
        <f t="shared" si="9"/>
        <v>0</v>
      </c>
      <c r="G377" s="944"/>
    </row>
    <row r="378" spans="1:7">
      <c r="A378" s="969" t="s">
        <v>1072</v>
      </c>
      <c r="B378" s="970" t="s">
        <v>1363</v>
      </c>
      <c r="C378" s="954" t="s">
        <v>43</v>
      </c>
      <c r="D378" s="971">
        <v>3</v>
      </c>
      <c r="E378" s="956"/>
      <c r="F378" s="926">
        <f t="shared" si="9"/>
        <v>0</v>
      </c>
      <c r="G378" s="952"/>
    </row>
    <row r="379" spans="1:7" ht="8.25" customHeight="1">
      <c r="A379" s="972"/>
      <c r="B379" s="970"/>
      <c r="C379" s="954"/>
      <c r="D379" s="971"/>
      <c r="E379" s="956"/>
      <c r="F379" s="926">
        <f t="shared" si="9"/>
        <v>0</v>
      </c>
      <c r="G379" s="944"/>
    </row>
    <row r="380" spans="1:7">
      <c r="A380" s="969" t="s">
        <v>1071</v>
      </c>
      <c r="B380" s="970" t="s">
        <v>1373</v>
      </c>
      <c r="C380" s="954" t="s">
        <v>43</v>
      </c>
      <c r="D380" s="971">
        <v>2</v>
      </c>
      <c r="E380" s="956"/>
      <c r="F380" s="926">
        <f t="shared" si="9"/>
        <v>0</v>
      </c>
      <c r="G380" s="952"/>
    </row>
    <row r="381" spans="1:7" ht="8.25" customHeight="1">
      <c r="A381" s="972"/>
      <c r="B381" s="970"/>
      <c r="C381" s="954"/>
      <c r="D381" s="971"/>
      <c r="E381" s="956"/>
      <c r="F381" s="926">
        <f t="shared" si="9"/>
        <v>0</v>
      </c>
      <c r="G381" s="944"/>
    </row>
    <row r="382" spans="1:7" ht="31">
      <c r="A382" s="969" t="s">
        <v>1070</v>
      </c>
      <c r="B382" s="970" t="s">
        <v>1365</v>
      </c>
      <c r="C382" s="954" t="s">
        <v>43</v>
      </c>
      <c r="D382" s="971">
        <v>1</v>
      </c>
      <c r="E382" s="956"/>
      <c r="F382" s="926">
        <f t="shared" si="9"/>
        <v>0</v>
      </c>
      <c r="G382" s="952"/>
    </row>
    <row r="383" spans="1:7" ht="8.25" customHeight="1">
      <c r="A383" s="972"/>
      <c r="B383" s="970"/>
      <c r="C383" s="954"/>
      <c r="D383" s="971"/>
      <c r="E383" s="956"/>
      <c r="F383" s="926">
        <f t="shared" si="9"/>
        <v>0</v>
      </c>
      <c r="G383" s="944"/>
    </row>
    <row r="384" spans="1:7" ht="17.5">
      <c r="A384" s="969" t="s">
        <v>1069</v>
      </c>
      <c r="B384" s="970" t="s">
        <v>1486</v>
      </c>
      <c r="C384" s="954" t="s">
        <v>43</v>
      </c>
      <c r="D384" s="971">
        <v>1</v>
      </c>
      <c r="E384" s="956"/>
      <c r="F384" s="926">
        <f t="shared" si="9"/>
        <v>0</v>
      </c>
      <c r="G384" s="952"/>
    </row>
    <row r="385" spans="1:7" ht="8.25" customHeight="1">
      <c r="A385" s="972"/>
      <c r="B385" s="970"/>
      <c r="C385" s="954"/>
      <c r="D385" s="971"/>
      <c r="E385" s="956"/>
      <c r="F385" s="926">
        <f t="shared" si="9"/>
        <v>0</v>
      </c>
      <c r="G385" s="944"/>
    </row>
    <row r="386" spans="1:7" ht="31">
      <c r="A386" s="969" t="s">
        <v>1068</v>
      </c>
      <c r="B386" s="970" t="s">
        <v>1374</v>
      </c>
      <c r="C386" s="971" t="s">
        <v>43</v>
      </c>
      <c r="D386" s="971">
        <v>1</v>
      </c>
      <c r="E386" s="956"/>
      <c r="F386" s="926">
        <f t="shared" si="9"/>
        <v>0</v>
      </c>
      <c r="G386" s="952"/>
    </row>
    <row r="387" spans="1:7" ht="12" customHeight="1">
      <c r="A387" s="1117"/>
      <c r="B387" s="982"/>
      <c r="C387" s="1105"/>
      <c r="D387" s="1105"/>
      <c r="E387" s="1106"/>
      <c r="F387" s="975"/>
      <c r="G387" s="952"/>
    </row>
    <row r="388" spans="1:7" ht="31">
      <c r="A388" s="969"/>
      <c r="B388" s="1118" t="s">
        <v>1397</v>
      </c>
      <c r="C388" s="954"/>
      <c r="D388" s="971"/>
      <c r="E388" s="956"/>
      <c r="F388" s="926"/>
      <c r="G388" s="952"/>
    </row>
    <row r="389" spans="1:7" ht="8.25" customHeight="1">
      <c r="A389" s="972"/>
      <c r="B389" s="970"/>
      <c r="C389" s="954"/>
      <c r="D389" s="971"/>
      <c r="E389" s="956"/>
      <c r="F389" s="926"/>
      <c r="G389" s="944"/>
    </row>
    <row r="390" spans="1:7" ht="31">
      <c r="A390" s="969" t="s">
        <v>1067</v>
      </c>
      <c r="B390" s="970" t="s">
        <v>1066</v>
      </c>
      <c r="C390" s="954" t="s">
        <v>43</v>
      </c>
      <c r="D390" s="971">
        <v>2</v>
      </c>
      <c r="E390" s="956"/>
      <c r="F390" s="926">
        <f t="shared" ref="F390:F425" si="10">E390*D390</f>
        <v>0</v>
      </c>
      <c r="G390" s="952"/>
    </row>
    <row r="391" spans="1:7" ht="8.25" customHeight="1">
      <c r="A391" s="972"/>
      <c r="B391" s="970"/>
      <c r="C391" s="954"/>
      <c r="D391" s="971"/>
      <c r="E391" s="956"/>
      <c r="F391" s="926">
        <f t="shared" si="10"/>
        <v>0</v>
      </c>
      <c r="G391" s="944"/>
    </row>
    <row r="392" spans="1:7" ht="17.5">
      <c r="A392" s="969" t="s">
        <v>1065</v>
      </c>
      <c r="B392" s="970" t="s">
        <v>1487</v>
      </c>
      <c r="C392" s="954" t="s">
        <v>43</v>
      </c>
      <c r="D392" s="971">
        <v>3</v>
      </c>
      <c r="E392" s="956"/>
      <c r="F392" s="926">
        <f t="shared" si="10"/>
        <v>0</v>
      </c>
      <c r="G392" s="952"/>
    </row>
    <row r="393" spans="1:7" ht="8.25" customHeight="1">
      <c r="A393" s="972"/>
      <c r="B393" s="970"/>
      <c r="C393" s="954"/>
      <c r="D393" s="971"/>
      <c r="E393" s="956"/>
      <c r="F393" s="926">
        <f t="shared" si="10"/>
        <v>0</v>
      </c>
      <c r="G393" s="944"/>
    </row>
    <row r="394" spans="1:7" ht="31">
      <c r="A394" s="969" t="s">
        <v>1064</v>
      </c>
      <c r="B394" s="970" t="s">
        <v>1063</v>
      </c>
      <c r="C394" s="954" t="s">
        <v>43</v>
      </c>
      <c r="D394" s="971">
        <v>2</v>
      </c>
      <c r="E394" s="956"/>
      <c r="F394" s="926">
        <f t="shared" si="10"/>
        <v>0</v>
      </c>
      <c r="G394" s="952"/>
    </row>
    <row r="395" spans="1:7" ht="8.25" customHeight="1">
      <c r="A395" s="972"/>
      <c r="B395" s="970"/>
      <c r="C395" s="954"/>
      <c r="D395" s="971"/>
      <c r="E395" s="956"/>
      <c r="F395" s="926">
        <f t="shared" si="10"/>
        <v>0</v>
      </c>
      <c r="G395" s="944"/>
    </row>
    <row r="396" spans="1:7" ht="14.25" customHeight="1">
      <c r="A396" s="969" t="s">
        <v>1062</v>
      </c>
      <c r="B396" s="970" t="s">
        <v>1061</v>
      </c>
      <c r="C396" s="954" t="s">
        <v>43</v>
      </c>
      <c r="D396" s="971">
        <v>7</v>
      </c>
      <c r="E396" s="956"/>
      <c r="F396" s="926">
        <f t="shared" si="10"/>
        <v>0</v>
      </c>
      <c r="G396" s="952"/>
    </row>
    <row r="397" spans="1:7" ht="8.25" customHeight="1">
      <c r="A397" s="972"/>
      <c r="B397" s="970"/>
      <c r="C397" s="954"/>
      <c r="D397" s="971"/>
      <c r="E397" s="956"/>
      <c r="F397" s="926">
        <f t="shared" si="10"/>
        <v>0</v>
      </c>
      <c r="G397" s="944"/>
    </row>
    <row r="398" spans="1:7" ht="31">
      <c r="A398" s="969" t="s">
        <v>1060</v>
      </c>
      <c r="B398" s="970" t="s">
        <v>1059</v>
      </c>
      <c r="C398" s="954" t="s">
        <v>43</v>
      </c>
      <c r="D398" s="971">
        <v>1</v>
      </c>
      <c r="E398" s="956"/>
      <c r="F398" s="926">
        <f t="shared" si="10"/>
        <v>0</v>
      </c>
      <c r="G398" s="952"/>
    </row>
    <row r="399" spans="1:7" ht="8.25" customHeight="1">
      <c r="A399" s="972"/>
      <c r="B399" s="970"/>
      <c r="C399" s="954"/>
      <c r="D399" s="971"/>
      <c r="E399" s="956"/>
      <c r="F399" s="926">
        <f t="shared" si="10"/>
        <v>0</v>
      </c>
      <c r="G399" s="944"/>
    </row>
    <row r="400" spans="1:7">
      <c r="A400" s="969" t="s">
        <v>1058</v>
      </c>
      <c r="B400" s="970" t="s">
        <v>1057</v>
      </c>
      <c r="C400" s="954" t="s">
        <v>43</v>
      </c>
      <c r="D400" s="971">
        <v>3</v>
      </c>
      <c r="E400" s="956"/>
      <c r="F400" s="926">
        <f t="shared" si="10"/>
        <v>0</v>
      </c>
      <c r="G400" s="952"/>
    </row>
    <row r="401" spans="1:7">
      <c r="A401" s="969"/>
      <c r="B401" s="970"/>
      <c r="C401" s="954"/>
      <c r="D401" s="971"/>
      <c r="E401" s="956"/>
      <c r="F401" s="926"/>
      <c r="G401" s="980"/>
    </row>
    <row r="402" spans="1:7">
      <c r="A402" s="969"/>
      <c r="B402" s="970"/>
      <c r="C402" s="954"/>
      <c r="D402" s="971"/>
      <c r="E402" s="956"/>
      <c r="F402" s="926"/>
      <c r="G402" s="980"/>
    </row>
    <row r="403" spans="1:7">
      <c r="A403" s="969"/>
      <c r="B403" s="970"/>
      <c r="C403" s="954"/>
      <c r="D403" s="971"/>
      <c r="E403" s="956"/>
      <c r="F403" s="926"/>
      <c r="G403" s="980"/>
    </row>
    <row r="404" spans="1:7" ht="16" thickBot="1">
      <c r="A404" s="1562" t="s">
        <v>966</v>
      </c>
      <c r="B404" s="1563"/>
      <c r="C404" s="1563"/>
      <c r="D404" s="1563"/>
      <c r="E404" s="1564"/>
      <c r="F404" s="976">
        <f>SUM(F356:F403)</f>
        <v>0</v>
      </c>
      <c r="G404" s="980"/>
    </row>
    <row r="405" spans="1:7" ht="8.25" customHeight="1" thickTop="1">
      <c r="A405" s="972"/>
      <c r="B405" s="970"/>
      <c r="C405" s="954"/>
      <c r="D405" s="971"/>
      <c r="E405" s="956"/>
      <c r="F405" s="926">
        <f t="shared" si="10"/>
        <v>0</v>
      </c>
      <c r="G405" s="944"/>
    </row>
    <row r="406" spans="1:7" ht="46.5">
      <c r="A406" s="969" t="s">
        <v>1056</v>
      </c>
      <c r="B406" s="982" t="s">
        <v>1055</v>
      </c>
      <c r="C406" s="954" t="s">
        <v>43</v>
      </c>
      <c r="D406" s="971">
        <v>2</v>
      </c>
      <c r="E406" s="956"/>
      <c r="F406" s="926">
        <f t="shared" si="10"/>
        <v>0</v>
      </c>
      <c r="G406" s="952"/>
    </row>
    <row r="407" spans="1:7" ht="8.25" customHeight="1">
      <c r="A407" s="972"/>
      <c r="B407" s="970"/>
      <c r="C407" s="954"/>
      <c r="D407" s="971"/>
      <c r="E407" s="956"/>
      <c r="F407" s="926">
        <f t="shared" si="10"/>
        <v>0</v>
      </c>
      <c r="G407" s="944"/>
    </row>
    <row r="408" spans="1:7">
      <c r="A408" s="969" t="s">
        <v>1054</v>
      </c>
      <c r="B408" s="982" t="s">
        <v>1053</v>
      </c>
      <c r="C408" s="954" t="s">
        <v>43</v>
      </c>
      <c r="D408" s="971">
        <v>1</v>
      </c>
      <c r="E408" s="956"/>
      <c r="F408" s="926">
        <f t="shared" si="10"/>
        <v>0</v>
      </c>
      <c r="G408" s="952"/>
    </row>
    <row r="409" spans="1:7" ht="8.25" customHeight="1">
      <c r="A409" s="969"/>
      <c r="B409" s="970"/>
      <c r="C409" s="954"/>
      <c r="D409" s="971"/>
      <c r="E409" s="956"/>
      <c r="F409" s="926">
        <f t="shared" si="10"/>
        <v>0</v>
      </c>
      <c r="G409" s="944"/>
    </row>
    <row r="410" spans="1:7" ht="31">
      <c r="A410" s="969" t="s">
        <v>1052</v>
      </c>
      <c r="B410" s="970" t="s">
        <v>1051</v>
      </c>
      <c r="C410" s="954" t="s">
        <v>43</v>
      </c>
      <c r="D410" s="971">
        <v>1</v>
      </c>
      <c r="E410" s="956"/>
      <c r="F410" s="926">
        <f t="shared" si="10"/>
        <v>0</v>
      </c>
      <c r="G410" s="952"/>
    </row>
    <row r="411" spans="1:7">
      <c r="A411" s="969" t="s">
        <v>1050</v>
      </c>
      <c r="B411" s="970" t="s">
        <v>1049</v>
      </c>
      <c r="C411" s="954" t="s">
        <v>43</v>
      </c>
      <c r="D411" s="971">
        <v>1</v>
      </c>
      <c r="E411" s="956"/>
      <c r="F411" s="926">
        <f t="shared" si="10"/>
        <v>0</v>
      </c>
      <c r="G411" s="952"/>
    </row>
    <row r="412" spans="1:7" ht="8.25" customHeight="1">
      <c r="A412" s="972"/>
      <c r="B412" s="970"/>
      <c r="C412" s="954"/>
      <c r="D412" s="971"/>
      <c r="E412" s="956"/>
      <c r="F412" s="926">
        <f t="shared" si="10"/>
        <v>0</v>
      </c>
      <c r="G412" s="944"/>
    </row>
    <row r="413" spans="1:7" ht="31">
      <c r="A413" s="969" t="s">
        <v>1048</v>
      </c>
      <c r="B413" s="970" t="s">
        <v>1047</v>
      </c>
      <c r="C413" s="954" t="s">
        <v>43</v>
      </c>
      <c r="D413" s="971">
        <v>1</v>
      </c>
      <c r="E413" s="956"/>
      <c r="F413" s="926">
        <f t="shared" si="10"/>
        <v>0</v>
      </c>
      <c r="G413" s="952"/>
    </row>
    <row r="414" spans="1:7" ht="8.25" customHeight="1">
      <c r="A414" s="972"/>
      <c r="B414" s="970"/>
      <c r="C414" s="954"/>
      <c r="D414" s="971"/>
      <c r="E414" s="956"/>
      <c r="F414" s="926">
        <f t="shared" si="10"/>
        <v>0</v>
      </c>
      <c r="G414" s="944"/>
    </row>
    <row r="415" spans="1:7" ht="31">
      <c r="A415" s="969" t="s">
        <v>1046</v>
      </c>
      <c r="B415" s="970" t="s">
        <v>1045</v>
      </c>
      <c r="C415" s="954" t="s">
        <v>43</v>
      </c>
      <c r="D415" s="971">
        <v>1</v>
      </c>
      <c r="E415" s="956"/>
      <c r="F415" s="926">
        <f t="shared" si="10"/>
        <v>0</v>
      </c>
      <c r="G415" s="952"/>
    </row>
    <row r="416" spans="1:7" ht="8.25" customHeight="1">
      <c r="A416" s="972"/>
      <c r="B416" s="970"/>
      <c r="C416" s="954"/>
      <c r="D416" s="971"/>
      <c r="E416" s="956"/>
      <c r="F416" s="926">
        <f t="shared" si="10"/>
        <v>0</v>
      </c>
      <c r="G416" s="944"/>
    </row>
    <row r="417" spans="1:7" ht="31">
      <c r="A417" s="969" t="s">
        <v>1044</v>
      </c>
      <c r="B417" s="970" t="s">
        <v>1043</v>
      </c>
      <c r="C417" s="954" t="s">
        <v>43</v>
      </c>
      <c r="D417" s="971">
        <v>1</v>
      </c>
      <c r="E417" s="956"/>
      <c r="F417" s="926">
        <f t="shared" si="10"/>
        <v>0</v>
      </c>
      <c r="G417" s="952"/>
    </row>
    <row r="418" spans="1:7" ht="8.25" customHeight="1">
      <c r="A418" s="972"/>
      <c r="B418" s="970"/>
      <c r="C418" s="954"/>
      <c r="D418" s="971"/>
      <c r="E418" s="956"/>
      <c r="F418" s="926">
        <f t="shared" si="10"/>
        <v>0</v>
      </c>
      <c r="G418" s="944"/>
    </row>
    <row r="419" spans="1:7" ht="31">
      <c r="A419" s="969" t="s">
        <v>1042</v>
      </c>
      <c r="B419" s="970" t="s">
        <v>1041</v>
      </c>
      <c r="C419" s="954" t="s">
        <v>43</v>
      </c>
      <c r="D419" s="971">
        <v>1</v>
      </c>
      <c r="E419" s="956"/>
      <c r="F419" s="926">
        <f t="shared" si="10"/>
        <v>0</v>
      </c>
      <c r="G419" s="952"/>
    </row>
    <row r="420" spans="1:7" ht="8.25" customHeight="1">
      <c r="A420" s="972"/>
      <c r="B420" s="970"/>
      <c r="C420" s="954"/>
      <c r="D420" s="971"/>
      <c r="E420" s="956"/>
      <c r="F420" s="926">
        <f t="shared" si="10"/>
        <v>0</v>
      </c>
      <c r="G420" s="944"/>
    </row>
    <row r="421" spans="1:7" ht="31">
      <c r="A421" s="969" t="s">
        <v>1040</v>
      </c>
      <c r="B421" s="970" t="s">
        <v>1039</v>
      </c>
      <c r="C421" s="954" t="s">
        <v>43</v>
      </c>
      <c r="D421" s="971">
        <v>1</v>
      </c>
      <c r="E421" s="956"/>
      <c r="F421" s="926">
        <f t="shared" si="10"/>
        <v>0</v>
      </c>
      <c r="G421" s="952"/>
    </row>
    <row r="422" spans="1:7" ht="8.25" customHeight="1">
      <c r="A422" s="972"/>
      <c r="B422" s="970"/>
      <c r="C422" s="954"/>
      <c r="D422" s="971"/>
      <c r="E422" s="956"/>
      <c r="F422" s="926">
        <f t="shared" si="10"/>
        <v>0</v>
      </c>
      <c r="G422" s="944"/>
    </row>
    <row r="423" spans="1:7" ht="31">
      <c r="A423" s="969" t="s">
        <v>1038</v>
      </c>
      <c r="B423" s="970" t="s">
        <v>1037</v>
      </c>
      <c r="C423" s="954" t="s">
        <v>43</v>
      </c>
      <c r="D423" s="971">
        <v>1</v>
      </c>
      <c r="E423" s="956"/>
      <c r="F423" s="926">
        <f t="shared" si="10"/>
        <v>0</v>
      </c>
      <c r="G423" s="952"/>
    </row>
    <row r="424" spans="1:7" ht="8.25" customHeight="1">
      <c r="A424" s="972"/>
      <c r="B424" s="970"/>
      <c r="C424" s="954"/>
      <c r="D424" s="971"/>
      <c r="E424" s="956"/>
      <c r="F424" s="926">
        <f t="shared" si="10"/>
        <v>0</v>
      </c>
      <c r="G424" s="944"/>
    </row>
    <row r="425" spans="1:7" ht="31">
      <c r="A425" s="969" t="s">
        <v>1036</v>
      </c>
      <c r="B425" s="970" t="s">
        <v>1035</v>
      </c>
      <c r="C425" s="954" t="s">
        <v>43</v>
      </c>
      <c r="D425" s="971">
        <v>1</v>
      </c>
      <c r="E425" s="956"/>
      <c r="F425" s="926">
        <f t="shared" si="10"/>
        <v>0</v>
      </c>
      <c r="G425" s="952"/>
    </row>
    <row r="426" spans="1:7">
      <c r="A426" s="974"/>
      <c r="B426" s="982"/>
      <c r="C426" s="954"/>
      <c r="D426" s="971"/>
      <c r="E426" s="956"/>
      <c r="F426" s="926">
        <f>E426*D426</f>
        <v>0</v>
      </c>
      <c r="G426" s="952"/>
    </row>
    <row r="427" spans="1:7" ht="31">
      <c r="A427" s="969"/>
      <c r="B427" s="977" t="s">
        <v>1034</v>
      </c>
      <c r="C427" s="954"/>
      <c r="D427" s="971"/>
      <c r="E427" s="956"/>
      <c r="F427" s="926">
        <f>E427*D427</f>
        <v>0</v>
      </c>
      <c r="G427" s="952"/>
    </row>
    <row r="428" spans="1:7" ht="8.25" customHeight="1">
      <c r="A428" s="972"/>
      <c r="B428" s="970"/>
      <c r="C428" s="954"/>
      <c r="D428" s="971"/>
      <c r="E428" s="956"/>
      <c r="F428" s="926">
        <f>E428*D428</f>
        <v>0</v>
      </c>
      <c r="G428" s="944"/>
    </row>
    <row r="429" spans="1:7" ht="39" customHeight="1">
      <c r="A429" s="969" t="s">
        <v>1033</v>
      </c>
      <c r="B429" s="981" t="s">
        <v>1032</v>
      </c>
      <c r="C429" s="954" t="s">
        <v>43</v>
      </c>
      <c r="D429" s="971">
        <v>2</v>
      </c>
      <c r="E429" s="956"/>
      <c r="F429" s="926">
        <f>E429*D429</f>
        <v>0</v>
      </c>
      <c r="G429" s="952"/>
    </row>
    <row r="430" spans="1:7" ht="8.25" customHeight="1">
      <c r="A430" s="972"/>
      <c r="B430" s="970"/>
      <c r="C430" s="954"/>
      <c r="D430" s="971"/>
      <c r="E430" s="956"/>
      <c r="F430" s="926">
        <f t="shared" ref="F430:F435" si="11">E430*D430</f>
        <v>0</v>
      </c>
      <c r="G430" s="944"/>
    </row>
    <row r="431" spans="1:7">
      <c r="A431" s="969" t="s">
        <v>1031</v>
      </c>
      <c r="B431" s="970" t="s">
        <v>1030</v>
      </c>
      <c r="C431" s="954" t="s">
        <v>43</v>
      </c>
      <c r="D431" s="971">
        <v>2</v>
      </c>
      <c r="E431" s="956"/>
      <c r="F431" s="926">
        <f t="shared" si="11"/>
        <v>0</v>
      </c>
      <c r="G431" s="952"/>
    </row>
    <row r="432" spans="1:7" ht="8.25" customHeight="1">
      <c r="A432" s="972"/>
      <c r="B432" s="970"/>
      <c r="C432" s="954"/>
      <c r="D432" s="971"/>
      <c r="E432" s="956"/>
      <c r="F432" s="926">
        <f t="shared" si="11"/>
        <v>0</v>
      </c>
      <c r="G432" s="944"/>
    </row>
    <row r="433" spans="1:7" ht="31">
      <c r="A433" s="969" t="s">
        <v>1028</v>
      </c>
      <c r="B433" s="981" t="s">
        <v>1029</v>
      </c>
      <c r="C433" s="954" t="s">
        <v>43</v>
      </c>
      <c r="D433" s="971">
        <v>2</v>
      </c>
      <c r="E433" s="956"/>
      <c r="F433" s="926">
        <f t="shared" si="11"/>
        <v>0</v>
      </c>
      <c r="G433" s="952"/>
    </row>
    <row r="434" spans="1:7" ht="8.25" customHeight="1">
      <c r="A434" s="974"/>
      <c r="B434" s="970"/>
      <c r="C434" s="954"/>
      <c r="D434" s="971"/>
      <c r="E434" s="956"/>
      <c r="F434" s="926">
        <f t="shared" si="11"/>
        <v>0</v>
      </c>
      <c r="G434" s="944"/>
    </row>
    <row r="435" spans="1:7" ht="31">
      <c r="A435" s="969" t="s">
        <v>1027</v>
      </c>
      <c r="B435" s="970" t="s">
        <v>1026</v>
      </c>
      <c r="C435" s="954" t="s">
        <v>43</v>
      </c>
      <c r="D435" s="971">
        <v>2</v>
      </c>
      <c r="E435" s="956"/>
      <c r="F435" s="926">
        <f t="shared" si="11"/>
        <v>0</v>
      </c>
      <c r="G435" s="952"/>
    </row>
    <row r="436" spans="1:7" ht="8.25" customHeight="1">
      <c r="A436" s="972"/>
      <c r="B436" s="970"/>
      <c r="C436" s="954"/>
      <c r="D436" s="971"/>
      <c r="E436" s="956"/>
      <c r="F436" s="926"/>
      <c r="G436" s="944"/>
    </row>
    <row r="437" spans="1:7" ht="17.5">
      <c r="A437" s="974" t="s">
        <v>1025</v>
      </c>
      <c r="B437" s="970" t="s">
        <v>1488</v>
      </c>
      <c r="C437" s="1114" t="s">
        <v>43</v>
      </c>
      <c r="D437" s="1099">
        <v>2</v>
      </c>
      <c r="E437" s="956"/>
      <c r="F437" s="1101"/>
      <c r="G437" s="952"/>
    </row>
    <row r="438" spans="1:7" ht="8.25" customHeight="1">
      <c r="A438" s="972"/>
      <c r="B438" s="970"/>
      <c r="C438" s="954"/>
      <c r="D438" s="971"/>
      <c r="E438" s="956"/>
      <c r="F438" s="926"/>
      <c r="G438" s="944"/>
    </row>
    <row r="439" spans="1:7" ht="31">
      <c r="A439" s="969"/>
      <c r="B439" s="977" t="s">
        <v>1398</v>
      </c>
      <c r="C439" s="954"/>
      <c r="D439" s="971"/>
      <c r="E439" s="956"/>
      <c r="F439" s="926"/>
      <c r="G439" s="952"/>
    </row>
    <row r="440" spans="1:7" ht="8.25" customHeight="1">
      <c r="A440" s="972"/>
      <c r="B440" s="970"/>
      <c r="C440" s="954"/>
      <c r="D440" s="971"/>
      <c r="E440" s="956"/>
      <c r="F440" s="926"/>
      <c r="G440" s="944"/>
    </row>
    <row r="441" spans="1:7" ht="31">
      <c r="A441" s="969" t="s">
        <v>1024</v>
      </c>
      <c r="B441" s="970" t="s">
        <v>1023</v>
      </c>
      <c r="C441" s="954" t="s">
        <v>43</v>
      </c>
      <c r="D441" s="971">
        <v>2</v>
      </c>
      <c r="E441" s="956"/>
      <c r="F441" s="926">
        <f t="shared" ref="F441:F448" si="12">E441*D441</f>
        <v>0</v>
      </c>
      <c r="G441" s="952"/>
    </row>
    <row r="442" spans="1:7" ht="8.25" customHeight="1">
      <c r="A442" s="972"/>
      <c r="B442" s="970"/>
      <c r="C442" s="954"/>
      <c r="D442" s="971"/>
      <c r="E442" s="956"/>
      <c r="F442" s="926">
        <f t="shared" si="12"/>
        <v>0</v>
      </c>
      <c r="G442" s="944"/>
    </row>
    <row r="443" spans="1:7" ht="17.5">
      <c r="A443" s="969" t="s">
        <v>1022</v>
      </c>
      <c r="B443" s="970" t="s">
        <v>1484</v>
      </c>
      <c r="C443" s="954" t="s">
        <v>43</v>
      </c>
      <c r="D443" s="971">
        <v>2</v>
      </c>
      <c r="E443" s="956"/>
      <c r="F443" s="926">
        <f t="shared" si="12"/>
        <v>0</v>
      </c>
      <c r="G443" s="952"/>
    </row>
    <row r="444" spans="1:7" ht="8.25" customHeight="1">
      <c r="A444" s="972"/>
      <c r="B444" s="970"/>
      <c r="C444" s="954"/>
      <c r="D444" s="971"/>
      <c r="E444" s="956"/>
      <c r="F444" s="926">
        <f t="shared" si="12"/>
        <v>0</v>
      </c>
      <c r="G444" s="944"/>
    </row>
    <row r="445" spans="1:7" ht="31">
      <c r="A445" s="969" t="s">
        <v>1021</v>
      </c>
      <c r="B445" s="970" t="s">
        <v>1020</v>
      </c>
      <c r="C445" s="954" t="s">
        <v>43</v>
      </c>
      <c r="D445" s="971">
        <v>2</v>
      </c>
      <c r="E445" s="956"/>
      <c r="F445" s="926">
        <f t="shared" si="12"/>
        <v>0</v>
      </c>
      <c r="G445" s="952"/>
    </row>
    <row r="446" spans="1:7">
      <c r="A446" s="1119"/>
      <c r="B446" s="1120"/>
      <c r="C446" s="1121"/>
      <c r="D446" s="1122"/>
      <c r="E446" s="1123"/>
      <c r="F446" s="1124"/>
      <c r="G446" s="980"/>
    </row>
    <row r="447" spans="1:7" ht="16" thickBot="1">
      <c r="A447" s="1562" t="s">
        <v>966</v>
      </c>
      <c r="B447" s="1563"/>
      <c r="C447" s="1563"/>
      <c r="D447" s="1563"/>
      <c r="E447" s="1564"/>
      <c r="F447" s="976">
        <f>SUM(F406:F445)</f>
        <v>0</v>
      </c>
      <c r="G447" s="944"/>
    </row>
    <row r="448" spans="1:7" ht="16" thickTop="1">
      <c r="A448" s="991"/>
      <c r="B448" s="992"/>
      <c r="C448" s="993"/>
      <c r="D448" s="994"/>
      <c r="E448" s="995"/>
      <c r="F448" s="926">
        <f t="shared" si="12"/>
        <v>0</v>
      </c>
    </row>
    <row r="449" spans="1:7">
      <c r="A449" s="997">
        <v>1.9</v>
      </c>
      <c r="B449" s="998" t="s">
        <v>176</v>
      </c>
      <c r="C449" s="954"/>
      <c r="D449" s="971"/>
      <c r="E449" s="925"/>
      <c r="F449" s="926">
        <f t="shared" ref="F449:F475" si="13">E449*D449</f>
        <v>0</v>
      </c>
      <c r="G449" s="952"/>
    </row>
    <row r="450" spans="1:7" ht="8.25" customHeight="1">
      <c r="A450" s="972"/>
      <c r="B450" s="970"/>
      <c r="C450" s="954"/>
      <c r="D450" s="971"/>
      <c r="E450" s="956"/>
      <c r="F450" s="926">
        <f t="shared" si="13"/>
        <v>0</v>
      </c>
      <c r="G450" s="944"/>
    </row>
    <row r="451" spans="1:7" ht="77.5">
      <c r="A451" s="999"/>
      <c r="B451" s="1000" t="s">
        <v>177</v>
      </c>
      <c r="C451" s="954"/>
      <c r="D451" s="971"/>
      <c r="E451" s="925"/>
      <c r="F451" s="926">
        <f t="shared" si="13"/>
        <v>0</v>
      </c>
      <c r="G451" s="980"/>
    </row>
    <row r="452" spans="1:7" ht="8.25" customHeight="1">
      <c r="A452" s="972"/>
      <c r="B452" s="970"/>
      <c r="C452" s="954"/>
      <c r="D452" s="971"/>
      <c r="E452" s="956"/>
      <c r="F452" s="926">
        <f t="shared" si="13"/>
        <v>0</v>
      </c>
      <c r="G452" s="944"/>
    </row>
    <row r="453" spans="1:7" ht="31">
      <c r="A453" s="974"/>
      <c r="B453" s="970" t="s">
        <v>20</v>
      </c>
      <c r="C453" s="954"/>
      <c r="D453" s="971"/>
      <c r="E453" s="956"/>
      <c r="F453" s="926">
        <f t="shared" si="13"/>
        <v>0</v>
      </c>
      <c r="G453" s="952"/>
    </row>
    <row r="454" spans="1:7" ht="8.25" customHeight="1">
      <c r="A454" s="972"/>
      <c r="B454" s="970"/>
      <c r="C454" s="954"/>
      <c r="D454" s="971"/>
      <c r="E454" s="956"/>
      <c r="F454" s="926">
        <f t="shared" si="13"/>
        <v>0</v>
      </c>
      <c r="G454" s="944"/>
    </row>
    <row r="455" spans="1:7">
      <c r="A455" s="974"/>
      <c r="B455" s="977" t="s">
        <v>178</v>
      </c>
      <c r="C455" s="954"/>
      <c r="D455" s="971"/>
      <c r="E455" s="956"/>
      <c r="F455" s="926">
        <f t="shared" si="13"/>
        <v>0</v>
      </c>
      <c r="G455" s="952"/>
    </row>
    <row r="456" spans="1:7" ht="8.25" customHeight="1">
      <c r="A456" s="972"/>
      <c r="B456" s="970"/>
      <c r="C456" s="954"/>
      <c r="D456" s="971"/>
      <c r="E456" s="956"/>
      <c r="F456" s="926">
        <f t="shared" si="13"/>
        <v>0</v>
      </c>
      <c r="G456" s="944"/>
    </row>
    <row r="457" spans="1:7" ht="31">
      <c r="A457" s="972" t="s">
        <v>1019</v>
      </c>
      <c r="B457" s="982" t="s">
        <v>1018</v>
      </c>
      <c r="C457" s="971" t="s">
        <v>43</v>
      </c>
      <c r="D457" s="971">
        <v>4</v>
      </c>
      <c r="E457" s="956"/>
      <c r="F457" s="926">
        <f t="shared" si="13"/>
        <v>0</v>
      </c>
      <c r="G457" s="952"/>
    </row>
    <row r="458" spans="1:7" ht="8.25" customHeight="1">
      <c r="A458" s="972"/>
      <c r="B458" s="970"/>
      <c r="C458" s="954"/>
      <c r="D458" s="971"/>
      <c r="E458" s="956"/>
      <c r="F458" s="926">
        <f t="shared" si="13"/>
        <v>0</v>
      </c>
      <c r="G458" s="944"/>
    </row>
    <row r="459" spans="1:7" ht="31">
      <c r="A459" s="972" t="s">
        <v>1017</v>
      </c>
      <c r="B459" s="988" t="s">
        <v>179</v>
      </c>
      <c r="C459" s="971" t="s">
        <v>43</v>
      </c>
      <c r="D459" s="971">
        <v>2</v>
      </c>
      <c r="E459" s="956"/>
      <c r="F459" s="926">
        <f t="shared" si="13"/>
        <v>0</v>
      </c>
      <c r="G459" s="980"/>
    </row>
    <row r="460" spans="1:7" ht="8.25" customHeight="1">
      <c r="A460" s="972"/>
      <c r="B460" s="970"/>
      <c r="C460" s="954"/>
      <c r="D460" s="971"/>
      <c r="E460" s="956"/>
      <c r="F460" s="926">
        <f t="shared" si="13"/>
        <v>0</v>
      </c>
      <c r="G460" s="944"/>
    </row>
    <row r="461" spans="1:7" ht="46.5">
      <c r="A461" s="972" t="s">
        <v>1016</v>
      </c>
      <c r="B461" s="982" t="s">
        <v>1015</v>
      </c>
      <c r="C461" s="971" t="s">
        <v>43</v>
      </c>
      <c r="D461" s="971">
        <v>4</v>
      </c>
      <c r="E461" s="956"/>
      <c r="F461" s="926">
        <f t="shared" si="13"/>
        <v>0</v>
      </c>
      <c r="G461" s="952"/>
    </row>
    <row r="462" spans="1:7" ht="8.25" customHeight="1">
      <c r="A462" s="972"/>
      <c r="B462" s="970"/>
      <c r="C462" s="954"/>
      <c r="D462" s="971"/>
      <c r="E462" s="956"/>
      <c r="F462" s="926">
        <f t="shared" si="13"/>
        <v>0</v>
      </c>
      <c r="G462" s="944"/>
    </row>
    <row r="463" spans="1:7" ht="31">
      <c r="A463" s="972" t="s">
        <v>1014</v>
      </c>
      <c r="B463" s="982" t="s">
        <v>180</v>
      </c>
      <c r="C463" s="971" t="s">
        <v>43</v>
      </c>
      <c r="D463" s="971">
        <v>2</v>
      </c>
      <c r="E463" s="956"/>
      <c r="F463" s="926">
        <f t="shared" si="13"/>
        <v>0</v>
      </c>
      <c r="G463" s="952"/>
    </row>
    <row r="464" spans="1:7" ht="8.25" customHeight="1">
      <c r="A464" s="972"/>
      <c r="B464" s="970"/>
      <c r="C464" s="954"/>
      <c r="D464" s="971"/>
      <c r="E464" s="956"/>
      <c r="F464" s="926">
        <f t="shared" si="13"/>
        <v>0</v>
      </c>
      <c r="G464" s="944"/>
    </row>
    <row r="465" spans="1:7">
      <c r="A465" s="1001">
        <v>1.1000000000000001</v>
      </c>
      <c r="B465" s="922" t="s">
        <v>30</v>
      </c>
      <c r="C465" s="923"/>
      <c r="D465" s="971"/>
      <c r="E465" s="925"/>
      <c r="F465" s="926">
        <f t="shared" si="13"/>
        <v>0</v>
      </c>
      <c r="G465" s="952"/>
    </row>
    <row r="466" spans="1:7" ht="8.25" customHeight="1">
      <c r="A466" s="972"/>
      <c r="B466" s="970"/>
      <c r="C466" s="954"/>
      <c r="D466" s="971"/>
      <c r="E466" s="956"/>
      <c r="F466" s="926">
        <f t="shared" si="13"/>
        <v>0</v>
      </c>
      <c r="G466" s="944"/>
    </row>
    <row r="467" spans="1:7">
      <c r="A467" s="1002"/>
      <c r="B467" s="977" t="s">
        <v>181</v>
      </c>
      <c r="C467" s="954"/>
      <c r="D467" s="971"/>
      <c r="E467" s="956"/>
      <c r="F467" s="926">
        <f t="shared" si="13"/>
        <v>0</v>
      </c>
      <c r="G467" s="952"/>
    </row>
    <row r="468" spans="1:7" ht="8.25" customHeight="1">
      <c r="A468" s="972"/>
      <c r="B468" s="970"/>
      <c r="C468" s="954"/>
      <c r="D468" s="971"/>
      <c r="E468" s="956"/>
      <c r="F468" s="926">
        <f t="shared" si="13"/>
        <v>0</v>
      </c>
      <c r="G468" s="944"/>
    </row>
    <row r="469" spans="1:7" ht="64.5" customHeight="1">
      <c r="A469" s="972" t="s">
        <v>1013</v>
      </c>
      <c r="B469" s="1003" t="s">
        <v>182</v>
      </c>
      <c r="C469" s="954" t="s">
        <v>9</v>
      </c>
      <c r="D469" s="971">
        <v>150</v>
      </c>
      <c r="E469" s="956"/>
      <c r="F469" s="926">
        <f t="shared" si="13"/>
        <v>0</v>
      </c>
      <c r="G469" s="952"/>
    </row>
    <row r="470" spans="1:7" ht="8.25" customHeight="1">
      <c r="A470" s="972"/>
      <c r="B470" s="970"/>
      <c r="C470" s="954"/>
      <c r="D470" s="971"/>
      <c r="E470" s="956"/>
      <c r="F470" s="926">
        <f t="shared" si="13"/>
        <v>0</v>
      </c>
      <c r="G470" s="944"/>
    </row>
    <row r="471" spans="1:7" ht="31">
      <c r="A471" s="972" t="s">
        <v>1012</v>
      </c>
      <c r="B471" s="970" t="s">
        <v>183</v>
      </c>
      <c r="C471" s="954" t="s">
        <v>1477</v>
      </c>
      <c r="D471" s="971">
        <v>1550</v>
      </c>
      <c r="E471" s="956"/>
      <c r="F471" s="926">
        <f t="shared" si="13"/>
        <v>0</v>
      </c>
      <c r="G471" s="952"/>
    </row>
    <row r="472" spans="1:7" ht="8.25" customHeight="1">
      <c r="A472" s="972"/>
      <c r="B472" s="970"/>
      <c r="C472" s="954"/>
      <c r="D472" s="971"/>
      <c r="E472" s="956"/>
      <c r="F472" s="926">
        <f t="shared" si="13"/>
        <v>0</v>
      </c>
      <c r="G472" s="944"/>
    </row>
    <row r="473" spans="1:7" ht="17.5">
      <c r="A473" s="972" t="s">
        <v>1011</v>
      </c>
      <c r="B473" s="970" t="s">
        <v>184</v>
      </c>
      <c r="C473" s="954" t="s">
        <v>1477</v>
      </c>
      <c r="D473" s="971">
        <v>1290</v>
      </c>
      <c r="E473" s="956"/>
      <c r="F473" s="926">
        <f t="shared" si="13"/>
        <v>0</v>
      </c>
      <c r="G473" s="952"/>
    </row>
    <row r="474" spans="1:7" ht="8.25" customHeight="1">
      <c r="A474" s="972"/>
      <c r="B474" s="970"/>
      <c r="C474" s="954"/>
      <c r="D474" s="971"/>
      <c r="E474" s="956"/>
      <c r="F474" s="926">
        <f t="shared" si="13"/>
        <v>0</v>
      </c>
      <c r="G474" s="944"/>
    </row>
    <row r="475" spans="1:7" ht="46.5">
      <c r="A475" s="972" t="s">
        <v>1010</v>
      </c>
      <c r="B475" s="970" t="s">
        <v>185</v>
      </c>
      <c r="C475" s="954" t="s">
        <v>43</v>
      </c>
      <c r="D475" s="971">
        <v>24</v>
      </c>
      <c r="E475" s="956"/>
      <c r="F475" s="926">
        <f t="shared" si="13"/>
        <v>0</v>
      </c>
      <c r="G475" s="952"/>
    </row>
    <row r="476" spans="1:7">
      <c r="A476" s="972"/>
      <c r="B476" s="970"/>
      <c r="C476" s="954"/>
      <c r="D476" s="971"/>
      <c r="E476" s="956"/>
      <c r="F476" s="926"/>
      <c r="G476" s="980"/>
    </row>
    <row r="477" spans="1:7">
      <c r="A477" s="972"/>
      <c r="B477" s="970"/>
      <c r="C477" s="954"/>
      <c r="D477" s="971"/>
      <c r="E477" s="956"/>
      <c r="F477" s="926"/>
      <c r="G477" s="980"/>
    </row>
    <row r="478" spans="1:7">
      <c r="A478" s="972"/>
      <c r="B478" s="970"/>
      <c r="C478" s="954"/>
      <c r="D478" s="971"/>
      <c r="E478" s="956"/>
      <c r="F478" s="926"/>
      <c r="G478" s="980"/>
    </row>
    <row r="479" spans="1:7">
      <c r="A479" s="972"/>
      <c r="B479" s="970"/>
      <c r="C479" s="954"/>
      <c r="D479" s="971"/>
      <c r="E479" s="956"/>
      <c r="F479" s="926"/>
      <c r="G479" s="980"/>
    </row>
    <row r="480" spans="1:7">
      <c r="A480" s="972"/>
      <c r="B480" s="970"/>
      <c r="C480" s="954"/>
      <c r="D480" s="971"/>
      <c r="E480" s="956"/>
      <c r="F480" s="926"/>
      <c r="G480" s="980"/>
    </row>
    <row r="481" spans="1:7">
      <c r="A481" s="972"/>
      <c r="B481" s="970"/>
      <c r="C481" s="954"/>
      <c r="D481" s="971"/>
      <c r="E481" s="956"/>
      <c r="F481" s="926"/>
      <c r="G481" s="980"/>
    </row>
    <row r="482" spans="1:7">
      <c r="A482" s="972"/>
      <c r="B482" s="970"/>
      <c r="C482" s="954"/>
      <c r="D482" s="971"/>
      <c r="E482" s="956"/>
      <c r="F482" s="926"/>
      <c r="G482" s="980"/>
    </row>
    <row r="483" spans="1:7">
      <c r="A483" s="972"/>
      <c r="B483" s="970"/>
      <c r="C483" s="954"/>
      <c r="D483" s="971"/>
      <c r="E483" s="956"/>
      <c r="F483" s="926"/>
      <c r="G483" s="980"/>
    </row>
    <row r="484" spans="1:7">
      <c r="A484" s="972"/>
      <c r="B484" s="970"/>
      <c r="C484" s="954"/>
      <c r="D484" s="971"/>
      <c r="E484" s="956"/>
      <c r="F484" s="926"/>
      <c r="G484" s="980"/>
    </row>
    <row r="485" spans="1:7">
      <c r="A485" s="972"/>
      <c r="B485" s="970"/>
      <c r="C485" s="954"/>
      <c r="D485" s="971"/>
      <c r="E485" s="956"/>
      <c r="F485" s="926"/>
      <c r="G485" s="980"/>
    </row>
    <row r="486" spans="1:7">
      <c r="A486" s="972"/>
      <c r="B486" s="970"/>
      <c r="C486" s="954"/>
      <c r="D486" s="971"/>
      <c r="E486" s="956"/>
      <c r="F486" s="926"/>
      <c r="G486" s="980"/>
    </row>
    <row r="487" spans="1:7" ht="9.65" customHeight="1">
      <c r="A487" s="972"/>
      <c r="B487" s="970"/>
      <c r="C487" s="954"/>
      <c r="D487" s="971"/>
      <c r="E487" s="956"/>
      <c r="F487" s="926"/>
      <c r="G487" s="980"/>
    </row>
    <row r="488" spans="1:7">
      <c r="A488" s="972"/>
      <c r="B488" s="970"/>
      <c r="C488" s="954"/>
      <c r="D488" s="971"/>
      <c r="E488" s="956"/>
      <c r="F488" s="926"/>
      <c r="G488" s="980"/>
    </row>
    <row r="489" spans="1:7" ht="16" thickBot="1">
      <c r="A489" s="1559" t="s">
        <v>966</v>
      </c>
      <c r="B489" s="1560"/>
      <c r="C489" s="1560"/>
      <c r="D489" s="1560"/>
      <c r="E489" s="1561"/>
      <c r="F489" s="1035">
        <f>SUM(F452:F488)</f>
        <v>0</v>
      </c>
      <c r="G489" s="944"/>
    </row>
    <row r="490" spans="1:7" s="1007" customFormat="1" ht="16" thickTop="1">
      <c r="A490" s="1004">
        <v>2</v>
      </c>
      <c r="B490" s="1005" t="s">
        <v>1009</v>
      </c>
      <c r="C490" s="1005"/>
      <c r="D490" s="1005"/>
      <c r="E490" s="1005"/>
      <c r="F490" s="1006"/>
    </row>
    <row r="491" spans="1:7" ht="8.25" customHeight="1">
      <c r="A491" s="972"/>
      <c r="B491" s="970"/>
      <c r="C491" s="954"/>
      <c r="D491" s="971"/>
      <c r="E491" s="956"/>
      <c r="F491" s="926"/>
      <c r="G491" s="944"/>
    </row>
    <row r="492" spans="1:7" s="1015" customFormat="1" ht="31">
      <c r="A492" s="1008">
        <v>2.1</v>
      </c>
      <c r="B492" s="1009" t="s">
        <v>186</v>
      </c>
      <c r="C492" s="1010"/>
      <c r="D492" s="1011"/>
      <c r="E492" s="1012"/>
      <c r="F492" s="1013"/>
      <c r="G492" s="1014"/>
    </row>
    <row r="493" spans="1:7" ht="8.25" customHeight="1">
      <c r="A493" s="972"/>
      <c r="B493" s="970"/>
      <c r="C493" s="954"/>
      <c r="D493" s="971"/>
      <c r="E493" s="956"/>
      <c r="F493" s="926"/>
      <c r="G493" s="944"/>
    </row>
    <row r="494" spans="1:7" s="1015" customFormat="1" ht="62">
      <c r="A494" s="1016" t="s">
        <v>187</v>
      </c>
      <c r="B494" s="1017" t="s">
        <v>188</v>
      </c>
      <c r="C494" s="1018" t="s">
        <v>1477</v>
      </c>
      <c r="D494" s="1018">
        <v>6050</v>
      </c>
      <c r="E494" s="1012"/>
      <c r="F494" s="1013">
        <f t="shared" ref="F494:F528" si="14">E494*D494</f>
        <v>0</v>
      </c>
      <c r="G494" s="1014"/>
    </row>
    <row r="495" spans="1:7" ht="8.25" customHeight="1">
      <c r="A495" s="972"/>
      <c r="B495" s="970"/>
      <c r="C495" s="954"/>
      <c r="D495" s="971"/>
      <c r="E495" s="956"/>
      <c r="F495" s="1013">
        <f t="shared" si="14"/>
        <v>0</v>
      </c>
      <c r="G495" s="944"/>
    </row>
    <row r="496" spans="1:7" s="1015" customFormat="1" ht="62">
      <c r="A496" s="1016" t="s">
        <v>189</v>
      </c>
      <c r="B496" s="1019" t="s">
        <v>190</v>
      </c>
      <c r="C496" s="1020" t="s">
        <v>43</v>
      </c>
      <c r="D496" s="1021">
        <v>12</v>
      </c>
      <c r="E496" s="1012"/>
      <c r="F496" s="1013">
        <f t="shared" si="14"/>
        <v>0</v>
      </c>
      <c r="G496" s="1014"/>
    </row>
    <row r="497" spans="1:7" ht="8.25" customHeight="1">
      <c r="A497" s="972"/>
      <c r="B497" s="970"/>
      <c r="C497" s="954"/>
      <c r="D497" s="971"/>
      <c r="E497" s="956"/>
      <c r="F497" s="1013">
        <f t="shared" si="14"/>
        <v>0</v>
      </c>
      <c r="G497" s="944"/>
    </row>
    <row r="498" spans="1:7" s="1015" customFormat="1">
      <c r="A498" s="1016" t="s">
        <v>191</v>
      </c>
      <c r="B498" s="1022" t="s">
        <v>192</v>
      </c>
      <c r="C498" s="1023" t="s">
        <v>43</v>
      </c>
      <c r="D498" s="1024" t="s">
        <v>70</v>
      </c>
      <c r="E498" s="1012"/>
      <c r="F498" s="1013">
        <f t="shared" si="14"/>
        <v>0</v>
      </c>
      <c r="G498" s="1014"/>
    </row>
    <row r="499" spans="1:7" ht="8.25" customHeight="1">
      <c r="A499" s="972"/>
      <c r="B499" s="970"/>
      <c r="C499" s="954"/>
      <c r="D499" s="971"/>
      <c r="E499" s="956"/>
      <c r="F499" s="1013">
        <f t="shared" si="14"/>
        <v>0</v>
      </c>
      <c r="G499" s="944"/>
    </row>
    <row r="500" spans="1:7" s="1015" customFormat="1" ht="62">
      <c r="A500" s="1016" t="s">
        <v>246</v>
      </c>
      <c r="B500" s="748" t="s">
        <v>1008</v>
      </c>
      <c r="C500" s="1018" t="s">
        <v>1438</v>
      </c>
      <c r="D500" s="1025">
        <v>6</v>
      </c>
      <c r="E500" s="1012"/>
      <c r="F500" s="1013">
        <f t="shared" si="14"/>
        <v>0</v>
      </c>
      <c r="G500" s="1014"/>
    </row>
    <row r="501" spans="1:7">
      <c r="A501" s="972"/>
      <c r="B501" s="970"/>
      <c r="C501" s="954"/>
      <c r="D501" s="971"/>
      <c r="E501" s="956"/>
      <c r="F501" s="1013">
        <f t="shared" si="14"/>
        <v>0</v>
      </c>
      <c r="G501" s="944"/>
    </row>
    <row r="502" spans="1:7" s="1015" customFormat="1">
      <c r="A502" s="1016"/>
      <c r="B502" s="1026" t="s">
        <v>193</v>
      </c>
      <c r="C502" s="1018"/>
      <c r="D502" s="1018"/>
      <c r="E502" s="1012"/>
      <c r="F502" s="1013">
        <f t="shared" si="14"/>
        <v>0</v>
      </c>
      <c r="G502" s="1014"/>
    </row>
    <row r="503" spans="1:7" ht="8.25" customHeight="1">
      <c r="A503" s="972"/>
      <c r="B503" s="970"/>
      <c r="C503" s="954"/>
      <c r="D503" s="971"/>
      <c r="E503" s="956"/>
      <c r="F503" s="1013">
        <f t="shared" si="14"/>
        <v>0</v>
      </c>
      <c r="G503" s="944"/>
    </row>
    <row r="504" spans="1:7" s="1015" customFormat="1" ht="77.5">
      <c r="A504" s="1016" t="s">
        <v>194</v>
      </c>
      <c r="B504" s="1027" t="s">
        <v>195</v>
      </c>
      <c r="C504" s="1018" t="s">
        <v>1477</v>
      </c>
      <c r="D504" s="1018">
        <v>4000</v>
      </c>
      <c r="E504" s="1012"/>
      <c r="F504" s="1013">
        <f t="shared" si="14"/>
        <v>0</v>
      </c>
      <c r="G504" s="1014"/>
    </row>
    <row r="505" spans="1:7" ht="8.25" customHeight="1">
      <c r="A505" s="972"/>
      <c r="B505" s="970"/>
      <c r="C505" s="954"/>
      <c r="D505" s="971"/>
      <c r="E505" s="956"/>
      <c r="F505" s="1013">
        <f t="shared" si="14"/>
        <v>0</v>
      </c>
      <c r="G505" s="944"/>
    </row>
    <row r="506" spans="1:7" s="1015" customFormat="1">
      <c r="A506" s="1028"/>
      <c r="B506" s="1029" t="s">
        <v>196</v>
      </c>
      <c r="C506" s="1018"/>
      <c r="D506" s="1018"/>
      <c r="E506" s="1012"/>
      <c r="F506" s="1013">
        <f t="shared" si="14"/>
        <v>0</v>
      </c>
      <c r="G506" s="1014"/>
    </row>
    <row r="507" spans="1:7" ht="8.25" customHeight="1">
      <c r="A507" s="972"/>
      <c r="B507" s="970"/>
      <c r="C507" s="954"/>
      <c r="D507" s="971"/>
      <c r="E507" s="956"/>
      <c r="F507" s="1013">
        <f t="shared" si="14"/>
        <v>0</v>
      </c>
      <c r="G507" s="944"/>
    </row>
    <row r="508" spans="1:7" s="1015" customFormat="1" ht="93">
      <c r="A508" s="1028" t="s">
        <v>197</v>
      </c>
      <c r="B508" s="1030" t="s">
        <v>198</v>
      </c>
      <c r="C508" s="1018" t="s">
        <v>1438</v>
      </c>
      <c r="D508" s="1018">
        <v>120</v>
      </c>
      <c r="E508" s="1012"/>
      <c r="F508" s="1013">
        <f t="shared" si="14"/>
        <v>0</v>
      </c>
      <c r="G508" s="1014"/>
    </row>
    <row r="509" spans="1:7" ht="8.25" customHeight="1">
      <c r="A509" s="972"/>
      <c r="B509" s="970"/>
      <c r="C509" s="954"/>
      <c r="D509" s="971"/>
      <c r="E509" s="956"/>
      <c r="F509" s="1013">
        <f t="shared" si="14"/>
        <v>0</v>
      </c>
      <c r="G509" s="944"/>
    </row>
    <row r="510" spans="1:7" s="1015" customFormat="1" ht="77.5">
      <c r="A510" s="1031" t="s">
        <v>1007</v>
      </c>
      <c r="B510" s="1032" t="s">
        <v>199</v>
      </c>
      <c r="C510" s="1018" t="s">
        <v>1438</v>
      </c>
      <c r="D510" s="1033">
        <v>60</v>
      </c>
      <c r="E510" s="1012"/>
      <c r="F510" s="1013">
        <f t="shared" si="14"/>
        <v>0</v>
      </c>
      <c r="G510" s="1014"/>
    </row>
    <row r="511" spans="1:7" ht="8.25" customHeight="1">
      <c r="A511" s="972"/>
      <c r="B511" s="970"/>
      <c r="C511" s="954"/>
      <c r="D511" s="971"/>
      <c r="E511" s="956"/>
      <c r="F511" s="1013">
        <f t="shared" si="14"/>
        <v>0</v>
      </c>
      <c r="G511" s="944"/>
    </row>
    <row r="512" spans="1:7" s="1015" customFormat="1" ht="18" customHeight="1">
      <c r="A512" s="1031" t="s">
        <v>1006</v>
      </c>
      <c r="B512" s="1034" t="s">
        <v>200</v>
      </c>
      <c r="C512" s="1018" t="s">
        <v>1438</v>
      </c>
      <c r="D512" s="1033">
        <v>50</v>
      </c>
      <c r="E512" s="1012"/>
      <c r="F512" s="1013">
        <f t="shared" si="14"/>
        <v>0</v>
      </c>
      <c r="G512" s="1014"/>
    </row>
    <row r="513" spans="1:7" ht="8.25" customHeight="1">
      <c r="A513" s="972"/>
      <c r="B513" s="970"/>
      <c r="C513" s="954"/>
      <c r="D513" s="971"/>
      <c r="E513" s="956"/>
      <c r="F513" s="1013">
        <f t="shared" si="14"/>
        <v>0</v>
      </c>
      <c r="G513" s="944"/>
    </row>
    <row r="514" spans="1:7" s="1015" customFormat="1" ht="77.5">
      <c r="A514" s="1031" t="s">
        <v>1005</v>
      </c>
      <c r="B514" s="1032" t="s">
        <v>201</v>
      </c>
      <c r="C514" s="1018" t="s">
        <v>1438</v>
      </c>
      <c r="D514" s="1033">
        <v>60</v>
      </c>
      <c r="E514" s="1012"/>
      <c r="F514" s="1013">
        <f t="shared" si="14"/>
        <v>0</v>
      </c>
      <c r="G514" s="1014"/>
    </row>
    <row r="515" spans="1:7" ht="8.25" customHeight="1">
      <c r="A515" s="972"/>
      <c r="B515" s="970"/>
      <c r="C515" s="954"/>
      <c r="D515" s="971"/>
      <c r="E515" s="956"/>
      <c r="F515" s="1013">
        <f t="shared" si="14"/>
        <v>0</v>
      </c>
      <c r="G515" s="944"/>
    </row>
    <row r="516" spans="1:7" ht="8.25" customHeight="1">
      <c r="A516" s="972"/>
      <c r="B516" s="970"/>
      <c r="C516" s="1125"/>
      <c r="D516" s="971"/>
      <c r="E516" s="956"/>
      <c r="F516" s="1013"/>
      <c r="G516" s="944"/>
    </row>
    <row r="517" spans="1:7" ht="8.25" customHeight="1">
      <c r="A517" s="972"/>
      <c r="B517" s="970"/>
      <c r="C517" s="1125"/>
      <c r="D517" s="971"/>
      <c r="E517" s="956"/>
      <c r="F517" s="1013"/>
      <c r="G517" s="944"/>
    </row>
    <row r="518" spans="1:7" ht="8.25" customHeight="1">
      <c r="A518" s="972"/>
      <c r="B518" s="970"/>
      <c r="C518" s="1125"/>
      <c r="D518" s="971"/>
      <c r="E518" s="956"/>
      <c r="F518" s="1013"/>
      <c r="G518" s="944"/>
    </row>
    <row r="519" spans="1:7" ht="8.25" customHeight="1">
      <c r="A519" s="972"/>
      <c r="B519" s="970"/>
      <c r="C519" s="1125"/>
      <c r="D519" s="971"/>
      <c r="E519" s="956"/>
      <c r="F519" s="1013"/>
      <c r="G519" s="944"/>
    </row>
    <row r="520" spans="1:7" ht="8.25" customHeight="1">
      <c r="A520" s="972"/>
      <c r="B520" s="970"/>
      <c r="C520" s="1125"/>
      <c r="D520" s="971"/>
      <c r="E520" s="956"/>
      <c r="F520" s="1013"/>
      <c r="G520" s="944"/>
    </row>
    <row r="521" spans="1:7" ht="8.25" customHeight="1">
      <c r="A521" s="972"/>
      <c r="B521" s="970"/>
      <c r="C521" s="1125"/>
      <c r="D521" s="971"/>
      <c r="E521" s="956"/>
      <c r="F521" s="1013"/>
      <c r="G521" s="944"/>
    </row>
    <row r="522" spans="1:7" ht="8.25" customHeight="1">
      <c r="A522" s="972"/>
      <c r="B522" s="970"/>
      <c r="C522" s="1125"/>
      <c r="D522" s="971"/>
      <c r="E522" s="956"/>
      <c r="F522" s="1013"/>
      <c r="G522" s="944"/>
    </row>
    <row r="523" spans="1:7" ht="8.25" customHeight="1">
      <c r="A523" s="972"/>
      <c r="B523" s="970"/>
      <c r="C523" s="1125"/>
      <c r="D523" s="971"/>
      <c r="E523" s="956"/>
      <c r="F523" s="1013"/>
      <c r="G523" s="944"/>
    </row>
    <row r="524" spans="1:7" ht="8.25" customHeight="1">
      <c r="A524" s="972"/>
      <c r="B524" s="970"/>
      <c r="C524" s="1125"/>
      <c r="D524" s="971"/>
      <c r="E524" s="956"/>
      <c r="F524" s="1013"/>
      <c r="G524" s="944"/>
    </row>
    <row r="525" spans="1:7" ht="16" thickBot="1">
      <c r="A525" s="1562" t="s">
        <v>966</v>
      </c>
      <c r="B525" s="1563"/>
      <c r="C525" s="1563"/>
      <c r="D525" s="1563"/>
      <c r="E525" s="1564"/>
      <c r="F525" s="976">
        <f>SUM(F494:F524)</f>
        <v>0</v>
      </c>
      <c r="G525" s="944"/>
    </row>
    <row r="526" spans="1:7" s="1015" customFormat="1" ht="31.5" thickTop="1">
      <c r="A526" s="1031" t="s">
        <v>1004</v>
      </c>
      <c r="B526" s="1032" t="s">
        <v>1003</v>
      </c>
      <c r="C526" s="1018" t="s">
        <v>1438</v>
      </c>
      <c r="D526" s="1033">
        <v>5</v>
      </c>
      <c r="E526" s="1012"/>
      <c r="F526" s="1013">
        <f t="shared" si="14"/>
        <v>0</v>
      </c>
      <c r="G526" s="1014"/>
    </row>
    <row r="527" spans="1:7" ht="8.25" customHeight="1">
      <c r="A527" s="972"/>
      <c r="B527" s="970"/>
      <c r="C527" s="954"/>
      <c r="D527" s="971"/>
      <c r="E527" s="956"/>
      <c r="F527" s="1013">
        <f t="shared" si="14"/>
        <v>0</v>
      </c>
      <c r="G527" s="944"/>
    </row>
    <row r="528" spans="1:7" s="1015" customFormat="1" ht="31">
      <c r="A528" s="1031" t="s">
        <v>1002</v>
      </c>
      <c r="B528" s="1032" t="s">
        <v>1001</v>
      </c>
      <c r="C528" s="1018" t="s">
        <v>1438</v>
      </c>
      <c r="D528" s="1033">
        <v>8</v>
      </c>
      <c r="E528" s="1012"/>
      <c r="F528" s="1013">
        <f t="shared" si="14"/>
        <v>0</v>
      </c>
      <c r="G528" s="1014"/>
    </row>
    <row r="529" spans="1:7" ht="8.25" customHeight="1">
      <c r="A529" s="1115"/>
      <c r="B529" s="1103"/>
      <c r="C529" s="1104"/>
      <c r="D529" s="971"/>
      <c r="E529" s="956"/>
      <c r="F529" s="975"/>
      <c r="G529" s="944"/>
    </row>
    <row r="530" spans="1:7" s="1015" customFormat="1" ht="31">
      <c r="A530" s="1031" t="s">
        <v>1000</v>
      </c>
      <c r="B530" s="1032" t="s">
        <v>999</v>
      </c>
      <c r="C530" s="1010" t="s">
        <v>1438</v>
      </c>
      <c r="D530" s="1126">
        <v>12</v>
      </c>
      <c r="E530" s="1127"/>
      <c r="F530" s="1013">
        <f>E530*D530</f>
        <v>0</v>
      </c>
      <c r="G530" s="1014"/>
    </row>
    <row r="531" spans="1:7" ht="8.25" customHeight="1">
      <c r="A531" s="972"/>
      <c r="B531" s="970"/>
      <c r="C531" s="954"/>
      <c r="D531" s="971"/>
      <c r="E531" s="956"/>
      <c r="F531" s="926"/>
      <c r="G531" s="944"/>
    </row>
    <row r="532" spans="1:7" s="1015" customFormat="1" ht="46.5">
      <c r="A532" s="1031" t="s">
        <v>998</v>
      </c>
      <c r="B532" s="1032" t="s">
        <v>202</v>
      </c>
      <c r="C532" s="1018" t="s">
        <v>1477</v>
      </c>
      <c r="D532" s="1033">
        <v>3000</v>
      </c>
      <c r="E532" s="1012"/>
      <c r="F532" s="1013">
        <f t="shared" ref="F532:F574" si="15">E532*D532</f>
        <v>0</v>
      </c>
      <c r="G532" s="1014"/>
    </row>
    <row r="533" spans="1:7" ht="8.25" customHeight="1">
      <c r="A533" s="972"/>
      <c r="B533" s="970"/>
      <c r="C533" s="954"/>
      <c r="D533" s="971"/>
      <c r="E533" s="956"/>
      <c r="F533" s="1013">
        <f t="shared" si="15"/>
        <v>0</v>
      </c>
      <c r="G533" s="944"/>
    </row>
    <row r="534" spans="1:7" s="1015" customFormat="1">
      <c r="A534" s="1008">
        <v>2.2000000000000002</v>
      </c>
      <c r="B534" s="1009" t="s">
        <v>44</v>
      </c>
      <c r="C534" s="1010"/>
      <c r="D534" s="1010"/>
      <c r="E534" s="1012"/>
      <c r="F534" s="1013">
        <f t="shared" si="15"/>
        <v>0</v>
      </c>
      <c r="G534" s="1014"/>
    </row>
    <row r="535" spans="1:7" ht="8.25" customHeight="1">
      <c r="A535" s="972"/>
      <c r="B535" s="970"/>
      <c r="C535" s="954"/>
      <c r="D535" s="971"/>
      <c r="E535" s="956"/>
      <c r="F535" s="1013">
        <f t="shared" si="15"/>
        <v>0</v>
      </c>
      <c r="G535" s="944"/>
    </row>
    <row r="536" spans="1:7" s="1015" customFormat="1">
      <c r="A536" s="1036"/>
      <c r="B536" s="1037" t="s">
        <v>45</v>
      </c>
      <c r="C536" s="1020"/>
      <c r="D536" s="1038"/>
      <c r="E536" s="1012"/>
      <c r="F536" s="1013">
        <f t="shared" si="15"/>
        <v>0</v>
      </c>
      <c r="G536" s="1014"/>
    </row>
    <row r="537" spans="1:7" ht="8.25" customHeight="1">
      <c r="A537" s="972"/>
      <c r="B537" s="970"/>
      <c r="C537" s="954"/>
      <c r="D537" s="971"/>
      <c r="E537" s="956"/>
      <c r="F537" s="1013">
        <f t="shared" si="15"/>
        <v>0</v>
      </c>
      <c r="G537" s="944"/>
    </row>
    <row r="538" spans="1:7" s="1015" customFormat="1" ht="77.5">
      <c r="A538" s="1036" t="s">
        <v>203</v>
      </c>
      <c r="B538" s="1019" t="s">
        <v>46</v>
      </c>
      <c r="C538" s="1020" t="s">
        <v>9</v>
      </c>
      <c r="D538" s="1021">
        <v>75</v>
      </c>
      <c r="E538" s="1012"/>
      <c r="F538" s="1013">
        <f t="shared" si="15"/>
        <v>0</v>
      </c>
      <c r="G538" s="1014"/>
    </row>
    <row r="539" spans="1:7" ht="8.25" customHeight="1">
      <c r="A539" s="972"/>
      <c r="B539" s="970"/>
      <c r="C539" s="954"/>
      <c r="D539" s="971"/>
      <c r="E539" s="956"/>
      <c r="F539" s="1013">
        <f t="shared" si="15"/>
        <v>0</v>
      </c>
      <c r="G539" s="944"/>
    </row>
    <row r="540" spans="1:7" s="1015" customFormat="1">
      <c r="A540" s="1036" t="s">
        <v>204</v>
      </c>
      <c r="B540" s="1019" t="s">
        <v>47</v>
      </c>
      <c r="C540" s="1020" t="s">
        <v>9</v>
      </c>
      <c r="D540" s="1021">
        <v>8</v>
      </c>
      <c r="E540" s="1012"/>
      <c r="F540" s="1013">
        <f t="shared" si="15"/>
        <v>0</v>
      </c>
      <c r="G540" s="1014"/>
    </row>
    <row r="541" spans="1:7" ht="8.25" customHeight="1">
      <c r="A541" s="972"/>
      <c r="B541" s="970"/>
      <c r="C541" s="954"/>
      <c r="D541" s="971"/>
      <c r="E541" s="956"/>
      <c r="F541" s="1013">
        <f t="shared" si="15"/>
        <v>0</v>
      </c>
      <c r="G541" s="944"/>
    </row>
    <row r="542" spans="1:7" s="1015" customFormat="1" ht="62">
      <c r="A542" s="1036" t="s">
        <v>48</v>
      </c>
      <c r="B542" s="1019" t="s">
        <v>49</v>
      </c>
      <c r="C542" s="1020" t="s">
        <v>9</v>
      </c>
      <c r="D542" s="1021">
        <v>75</v>
      </c>
      <c r="E542" s="1012"/>
      <c r="F542" s="1013">
        <f t="shared" si="15"/>
        <v>0</v>
      </c>
      <c r="G542" s="1014"/>
    </row>
    <row r="543" spans="1:7" ht="8.25" customHeight="1">
      <c r="A543" s="972"/>
      <c r="B543" s="970"/>
      <c r="C543" s="954"/>
      <c r="D543" s="971"/>
      <c r="E543" s="956"/>
      <c r="F543" s="1013">
        <f t="shared" si="15"/>
        <v>0</v>
      </c>
      <c r="G543" s="944"/>
    </row>
    <row r="544" spans="1:7" s="1015" customFormat="1">
      <c r="A544" s="1036" t="s">
        <v>50</v>
      </c>
      <c r="B544" s="1019" t="s">
        <v>51</v>
      </c>
      <c r="C544" s="1020" t="s">
        <v>9</v>
      </c>
      <c r="D544" s="1021">
        <v>8</v>
      </c>
      <c r="E544" s="1012"/>
      <c r="F544" s="1013">
        <f t="shared" si="15"/>
        <v>0</v>
      </c>
      <c r="G544" s="1014"/>
    </row>
    <row r="545" spans="1:7" ht="8.25" customHeight="1">
      <c r="A545" s="972"/>
      <c r="B545" s="970"/>
      <c r="C545" s="954"/>
      <c r="D545" s="971"/>
      <c r="E545" s="956"/>
      <c r="F545" s="1013">
        <f t="shared" si="15"/>
        <v>0</v>
      </c>
      <c r="G545" s="944"/>
    </row>
    <row r="546" spans="1:7" s="1015" customFormat="1">
      <c r="A546" s="1036" t="s">
        <v>52</v>
      </c>
      <c r="B546" s="1039" t="s">
        <v>53</v>
      </c>
      <c r="C546" s="1020" t="s">
        <v>9</v>
      </c>
      <c r="D546" s="1021">
        <v>8</v>
      </c>
      <c r="E546" s="1012"/>
      <c r="F546" s="1013">
        <f t="shared" si="15"/>
        <v>0</v>
      </c>
      <c r="G546" s="1014"/>
    </row>
    <row r="547" spans="1:7" ht="8.25" customHeight="1">
      <c r="A547" s="972"/>
      <c r="B547" s="970"/>
      <c r="C547" s="954"/>
      <c r="D547" s="971"/>
      <c r="E547" s="956"/>
      <c r="F547" s="1013">
        <f t="shared" si="15"/>
        <v>0</v>
      </c>
      <c r="G547" s="944"/>
    </row>
    <row r="548" spans="1:7" s="1015" customFormat="1">
      <c r="A548" s="1036"/>
      <c r="B548" s="1040" t="s">
        <v>54</v>
      </c>
      <c r="C548" s="1020"/>
      <c r="D548" s="1038"/>
      <c r="E548" s="1012"/>
      <c r="F548" s="1013">
        <f t="shared" si="15"/>
        <v>0</v>
      </c>
      <c r="G548" s="1014"/>
    </row>
    <row r="549" spans="1:7" ht="8.25" customHeight="1">
      <c r="A549" s="972"/>
      <c r="B549" s="970"/>
      <c r="C549" s="954"/>
      <c r="D549" s="971"/>
      <c r="E549" s="956"/>
      <c r="F549" s="1013">
        <f t="shared" si="15"/>
        <v>0</v>
      </c>
      <c r="G549" s="944"/>
    </row>
    <row r="550" spans="1:7" s="1015" customFormat="1" ht="30" customHeight="1">
      <c r="A550" s="1036"/>
      <c r="B550" s="1040" t="s">
        <v>55</v>
      </c>
      <c r="C550" s="1020"/>
      <c r="D550" s="1038"/>
      <c r="E550" s="1012"/>
      <c r="F550" s="1013">
        <f t="shared" si="15"/>
        <v>0</v>
      </c>
      <c r="G550" s="1014"/>
    </row>
    <row r="551" spans="1:7" ht="8.25" customHeight="1">
      <c r="A551" s="972"/>
      <c r="B551" s="970"/>
      <c r="C551" s="954"/>
      <c r="D551" s="971"/>
      <c r="E551" s="956"/>
      <c r="F551" s="1013">
        <f t="shared" si="15"/>
        <v>0</v>
      </c>
      <c r="G551" s="944"/>
    </row>
    <row r="552" spans="1:7" s="1015" customFormat="1" ht="31">
      <c r="A552" s="1036" t="s">
        <v>997</v>
      </c>
      <c r="B552" s="1019" t="s">
        <v>56</v>
      </c>
      <c r="C552" s="1020" t="s">
        <v>1438</v>
      </c>
      <c r="D552" s="1021">
        <v>100</v>
      </c>
      <c r="E552" s="1012"/>
      <c r="F552" s="1013">
        <f t="shared" si="15"/>
        <v>0</v>
      </c>
      <c r="G552" s="1014"/>
    </row>
    <row r="553" spans="1:7" ht="8.25" customHeight="1">
      <c r="A553" s="972"/>
      <c r="B553" s="970"/>
      <c r="C553" s="954"/>
      <c r="D553" s="971"/>
      <c r="E553" s="956"/>
      <c r="F553" s="1013">
        <f t="shared" si="15"/>
        <v>0</v>
      </c>
      <c r="G553" s="944"/>
    </row>
    <row r="554" spans="1:7" s="1015" customFormat="1" ht="46.5">
      <c r="A554" s="1036" t="s">
        <v>996</v>
      </c>
      <c r="B554" s="1019" t="s">
        <v>57</v>
      </c>
      <c r="C554" s="1020" t="s">
        <v>1477</v>
      </c>
      <c r="D554" s="1021">
        <v>300</v>
      </c>
      <c r="E554" s="1012"/>
      <c r="F554" s="1013">
        <f t="shared" si="15"/>
        <v>0</v>
      </c>
      <c r="G554" s="1014"/>
    </row>
    <row r="555" spans="1:7" ht="8.25" customHeight="1">
      <c r="A555" s="972"/>
      <c r="B555" s="970"/>
      <c r="C555" s="954"/>
      <c r="D555" s="971"/>
      <c r="E555" s="956"/>
      <c r="F555" s="1013">
        <f t="shared" si="15"/>
        <v>0</v>
      </c>
      <c r="G555" s="944"/>
    </row>
    <row r="556" spans="1:7" s="1015" customFormat="1" ht="31">
      <c r="A556" s="1036" t="s">
        <v>995</v>
      </c>
      <c r="B556" s="1019" t="s">
        <v>58</v>
      </c>
      <c r="C556" s="1020" t="s">
        <v>1477</v>
      </c>
      <c r="D556" s="1021">
        <v>300</v>
      </c>
      <c r="E556" s="1012"/>
      <c r="F556" s="1013">
        <f t="shared" si="15"/>
        <v>0</v>
      </c>
      <c r="G556" s="1014"/>
    </row>
    <row r="557" spans="1:7" ht="8.25" customHeight="1">
      <c r="A557" s="972"/>
      <c r="B557" s="970"/>
      <c r="C557" s="954"/>
      <c r="D557" s="971"/>
      <c r="E557" s="956"/>
      <c r="F557" s="1013">
        <f t="shared" si="15"/>
        <v>0</v>
      </c>
      <c r="G557" s="944"/>
    </row>
    <row r="558" spans="1:7" s="1015" customFormat="1" ht="46.5">
      <c r="A558" s="1036" t="s">
        <v>994</v>
      </c>
      <c r="B558" s="1019" t="s">
        <v>59</v>
      </c>
      <c r="C558" s="1020" t="s">
        <v>1477</v>
      </c>
      <c r="D558" s="1021">
        <v>300</v>
      </c>
      <c r="E558" s="1012"/>
      <c r="F558" s="1013">
        <f t="shared" si="15"/>
        <v>0</v>
      </c>
      <c r="G558" s="1014"/>
    </row>
    <row r="559" spans="1:7" ht="8.25" customHeight="1">
      <c r="A559" s="972"/>
      <c r="B559" s="970"/>
      <c r="C559" s="954"/>
      <c r="D559" s="971"/>
      <c r="E559" s="956"/>
      <c r="F559" s="1013">
        <f t="shared" si="15"/>
        <v>0</v>
      </c>
      <c r="G559" s="944"/>
    </row>
    <row r="560" spans="1:7" s="1015" customFormat="1" ht="31">
      <c r="A560" s="1041"/>
      <c r="B560" s="1040" t="s">
        <v>60</v>
      </c>
      <c r="C560" s="1020"/>
      <c r="D560" s="1021"/>
      <c r="E560" s="1012"/>
      <c r="F560" s="1013">
        <f t="shared" si="15"/>
        <v>0</v>
      </c>
      <c r="G560" s="1014"/>
    </row>
    <row r="561" spans="1:7" ht="8.25" customHeight="1">
      <c r="A561" s="972"/>
      <c r="B561" s="970"/>
      <c r="C561" s="954"/>
      <c r="D561" s="971"/>
      <c r="E561" s="956"/>
      <c r="F561" s="1013">
        <f t="shared" si="15"/>
        <v>0</v>
      </c>
      <c r="G561" s="944"/>
    </row>
    <row r="562" spans="1:7" s="1015" customFormat="1" ht="48.5">
      <c r="A562" s="1041" t="s">
        <v>993</v>
      </c>
      <c r="B562" s="1019" t="s">
        <v>1489</v>
      </c>
      <c r="C562" s="1020" t="s">
        <v>1477</v>
      </c>
      <c r="D562" s="1021">
        <v>300</v>
      </c>
      <c r="E562" s="1012"/>
      <c r="F562" s="1013">
        <f t="shared" si="15"/>
        <v>0</v>
      </c>
      <c r="G562" s="1014"/>
    </row>
    <row r="563" spans="1:7" s="1015" customFormat="1" ht="9" customHeight="1">
      <c r="A563" s="1041"/>
      <c r="B563" s="1019"/>
      <c r="C563" s="1020"/>
      <c r="D563" s="1021"/>
      <c r="E563" s="1012"/>
      <c r="F563" s="1013"/>
      <c r="G563" s="1128"/>
    </row>
    <row r="564" spans="1:7" s="1015" customFormat="1">
      <c r="A564" s="1041"/>
      <c r="B564" s="1019"/>
      <c r="C564" s="1020"/>
      <c r="D564" s="1021"/>
      <c r="E564" s="1012"/>
      <c r="F564" s="1013"/>
      <c r="G564" s="1128"/>
    </row>
    <row r="565" spans="1:7" ht="16" thickBot="1">
      <c r="A565" s="1562" t="s">
        <v>966</v>
      </c>
      <c r="B565" s="1563"/>
      <c r="C565" s="1563"/>
      <c r="D565" s="1563"/>
      <c r="E565" s="1564"/>
      <c r="F565" s="976">
        <f>SUM(F526:F564)</f>
        <v>0</v>
      </c>
      <c r="G565" s="944"/>
    </row>
    <row r="566" spans="1:7" s="1015" customFormat="1" ht="16" thickTop="1">
      <c r="A566" s="1041"/>
      <c r="B566" s="1009" t="s">
        <v>61</v>
      </c>
      <c r="C566" s="1020"/>
      <c r="D566" s="1021"/>
      <c r="E566" s="1012"/>
      <c r="F566" s="1013">
        <f t="shared" si="15"/>
        <v>0</v>
      </c>
      <c r="G566" s="1014"/>
    </row>
    <row r="567" spans="1:7" ht="8.25" customHeight="1">
      <c r="A567" s="972"/>
      <c r="B567" s="970"/>
      <c r="C567" s="954"/>
      <c r="D567" s="971"/>
      <c r="E567" s="956"/>
      <c r="F567" s="1013">
        <f t="shared" si="15"/>
        <v>0</v>
      </c>
      <c r="G567" s="944"/>
    </row>
    <row r="568" spans="1:7" s="1015" customFormat="1">
      <c r="A568" s="1041"/>
      <c r="B568" s="1030" t="s">
        <v>62</v>
      </c>
      <c r="C568" s="1020"/>
      <c r="D568" s="1021"/>
      <c r="E568" s="1012"/>
      <c r="F568" s="1013">
        <f t="shared" si="15"/>
        <v>0</v>
      </c>
      <c r="G568" s="1014"/>
    </row>
    <row r="569" spans="1:7" ht="8.25" customHeight="1">
      <c r="A569" s="972"/>
      <c r="B569" s="970"/>
      <c r="C569" s="954"/>
      <c r="D569" s="971"/>
      <c r="E569" s="956"/>
      <c r="F569" s="1013">
        <f t="shared" si="15"/>
        <v>0</v>
      </c>
      <c r="G569" s="944"/>
    </row>
    <row r="570" spans="1:7" s="1015" customFormat="1" ht="31">
      <c r="A570" s="1041" t="s">
        <v>992</v>
      </c>
      <c r="B570" s="1030" t="s">
        <v>63</v>
      </c>
      <c r="C570" s="1020" t="s">
        <v>1477</v>
      </c>
      <c r="D570" s="1021">
        <v>150</v>
      </c>
      <c r="E570" s="1012"/>
      <c r="F570" s="1013">
        <f t="shared" si="15"/>
        <v>0</v>
      </c>
      <c r="G570" s="1014"/>
    </row>
    <row r="571" spans="1:7" ht="8.25" customHeight="1">
      <c r="A571" s="972"/>
      <c r="B571" s="970"/>
      <c r="C571" s="954"/>
      <c r="D571" s="971"/>
      <c r="E571" s="956"/>
      <c r="F571" s="1013">
        <f t="shared" si="15"/>
        <v>0</v>
      </c>
      <c r="G571" s="944"/>
    </row>
    <row r="572" spans="1:7" s="1015" customFormat="1" ht="17.5">
      <c r="A572" s="1041" t="s">
        <v>991</v>
      </c>
      <c r="B572" s="1030" t="s">
        <v>64</v>
      </c>
      <c r="C572" s="1020" t="s">
        <v>1477</v>
      </c>
      <c r="D572" s="1021">
        <v>150</v>
      </c>
      <c r="E572" s="1012"/>
      <c r="F572" s="1013">
        <f t="shared" si="15"/>
        <v>0</v>
      </c>
      <c r="G572" s="1014"/>
    </row>
    <row r="573" spans="1:7" ht="8.25" customHeight="1">
      <c r="A573" s="972"/>
      <c r="B573" s="970"/>
      <c r="C573" s="954"/>
      <c r="D573" s="971"/>
      <c r="E573" s="956"/>
      <c r="F573" s="1013">
        <f t="shared" si="15"/>
        <v>0</v>
      </c>
      <c r="G573" s="944"/>
    </row>
    <row r="574" spans="1:7" s="1015" customFormat="1" ht="31">
      <c r="A574" s="1041" t="s">
        <v>990</v>
      </c>
      <c r="B574" s="1030" t="s">
        <v>205</v>
      </c>
      <c r="C574" s="1020" t="s">
        <v>1477</v>
      </c>
      <c r="D574" s="1021">
        <v>150</v>
      </c>
      <c r="E574" s="1012"/>
      <c r="F574" s="1013">
        <f t="shared" si="15"/>
        <v>0</v>
      </c>
      <c r="G574" s="1014"/>
    </row>
    <row r="575" spans="1:7" s="1015" customFormat="1">
      <c r="A575" s="1129"/>
      <c r="B575" s="1130"/>
      <c r="C575" s="1131"/>
      <c r="D575" s="1132"/>
      <c r="E575" s="1012"/>
      <c r="F575" s="1133"/>
      <c r="G575" s="1014"/>
    </row>
    <row r="576" spans="1:7" s="1015" customFormat="1">
      <c r="A576" s="1008">
        <v>2.2999999999999998</v>
      </c>
      <c r="B576" s="1009" t="s">
        <v>42</v>
      </c>
      <c r="C576" s="1010"/>
      <c r="D576" s="1010"/>
      <c r="E576" s="1127"/>
      <c r="F576" s="1013"/>
      <c r="G576" s="1014"/>
    </row>
    <row r="577" spans="1:7" ht="8.25" customHeight="1">
      <c r="A577" s="972"/>
      <c r="B577" s="970"/>
      <c r="C577" s="954"/>
      <c r="D577" s="971"/>
      <c r="E577" s="956"/>
      <c r="F577" s="926"/>
      <c r="G577" s="944"/>
    </row>
    <row r="578" spans="1:7" s="1015" customFormat="1" ht="62">
      <c r="A578" s="1028" t="s">
        <v>206</v>
      </c>
      <c r="B578" s="1030" t="s">
        <v>989</v>
      </c>
      <c r="C578" s="1010" t="s">
        <v>9</v>
      </c>
      <c r="D578" s="1010">
        <v>100</v>
      </c>
      <c r="E578" s="1012"/>
      <c r="F578" s="1013">
        <f t="shared" ref="F578:F617" si="16">E578*D578</f>
        <v>0</v>
      </c>
      <c r="G578" s="1014"/>
    </row>
    <row r="579" spans="1:7" ht="8.25" customHeight="1">
      <c r="A579" s="972"/>
      <c r="B579" s="970"/>
      <c r="C579" s="954"/>
      <c r="D579" s="971"/>
      <c r="E579" s="956"/>
      <c r="F579" s="1013">
        <f t="shared" si="16"/>
        <v>0</v>
      </c>
      <c r="G579" s="944"/>
    </row>
    <row r="580" spans="1:7" s="1015" customFormat="1" ht="31">
      <c r="A580" s="1028" t="s">
        <v>207</v>
      </c>
      <c r="B580" s="1030" t="s">
        <v>988</v>
      </c>
      <c r="C580" s="1010" t="s">
        <v>43</v>
      </c>
      <c r="D580" s="1010">
        <v>1</v>
      </c>
      <c r="E580" s="1012"/>
      <c r="F580" s="1013">
        <f t="shared" si="16"/>
        <v>0</v>
      </c>
      <c r="G580" s="1014"/>
    </row>
    <row r="581" spans="1:7" ht="8.25" customHeight="1">
      <c r="A581" s="972"/>
      <c r="B581" s="970"/>
      <c r="C581" s="954"/>
      <c r="D581" s="971"/>
      <c r="E581" s="956"/>
      <c r="F581" s="1013">
        <f t="shared" si="16"/>
        <v>0</v>
      </c>
      <c r="G581" s="944"/>
    </row>
    <row r="582" spans="1:7" s="1015" customFormat="1" hidden="1">
      <c r="A582" s="1028">
        <v>3.3</v>
      </c>
      <c r="B582" s="1039" t="s">
        <v>987</v>
      </c>
      <c r="C582" s="1010" t="s">
        <v>43</v>
      </c>
      <c r="D582" s="1010">
        <v>1</v>
      </c>
      <c r="E582" s="1012"/>
      <c r="F582" s="1013">
        <f t="shared" si="16"/>
        <v>0</v>
      </c>
      <c r="G582" s="1014"/>
    </row>
    <row r="583" spans="1:7" s="1015" customFormat="1" hidden="1">
      <c r="A583" s="1028"/>
      <c r="B583" s="1030"/>
      <c r="C583" s="1010"/>
      <c r="D583" s="1010"/>
      <c r="E583" s="1012"/>
      <c r="F583" s="1013">
        <f t="shared" si="16"/>
        <v>0</v>
      </c>
      <c r="G583" s="1014"/>
    </row>
    <row r="584" spans="1:7" s="1015" customFormat="1">
      <c r="A584" s="1008">
        <v>2.4</v>
      </c>
      <c r="B584" s="1040" t="s">
        <v>208</v>
      </c>
      <c r="C584" s="1043"/>
      <c r="D584" s="1038"/>
      <c r="E584" s="1012"/>
      <c r="F584" s="1013">
        <f t="shared" si="16"/>
        <v>0</v>
      </c>
      <c r="G584" s="1014"/>
    </row>
    <row r="585" spans="1:7" ht="8.25" customHeight="1">
      <c r="A585" s="972"/>
      <c r="B585" s="970"/>
      <c r="C585" s="954"/>
      <c r="D585" s="971"/>
      <c r="E585" s="956"/>
      <c r="F585" s="1013">
        <f t="shared" si="16"/>
        <v>0</v>
      </c>
      <c r="G585" s="944"/>
    </row>
    <row r="586" spans="1:7" s="1015" customFormat="1">
      <c r="A586" s="1028"/>
      <c r="B586" s="1040" t="s">
        <v>209</v>
      </c>
      <c r="C586" s="1043"/>
      <c r="D586" s="1038"/>
      <c r="E586" s="1012"/>
      <c r="F586" s="1013">
        <f t="shared" si="16"/>
        <v>0</v>
      </c>
      <c r="G586" s="1014"/>
    </row>
    <row r="587" spans="1:7" ht="8.25" customHeight="1">
      <c r="A587" s="972"/>
      <c r="B587" s="970"/>
      <c r="C587" s="954"/>
      <c r="D587" s="971"/>
      <c r="E587" s="956"/>
      <c r="F587" s="1013">
        <f t="shared" si="16"/>
        <v>0</v>
      </c>
      <c r="G587" s="944"/>
    </row>
    <row r="588" spans="1:7" s="1015" customFormat="1" ht="62">
      <c r="A588" s="1028" t="s">
        <v>210</v>
      </c>
      <c r="B588" s="1019" t="s">
        <v>1474</v>
      </c>
      <c r="C588" s="1020" t="s">
        <v>9</v>
      </c>
      <c r="D588" s="1021">
        <v>75</v>
      </c>
      <c r="E588" s="1012"/>
      <c r="F588" s="1013">
        <f t="shared" si="16"/>
        <v>0</v>
      </c>
      <c r="G588" s="1014"/>
    </row>
    <row r="589" spans="1:7" ht="8.25" customHeight="1">
      <c r="A589" s="972"/>
      <c r="B589" s="970"/>
      <c r="C589" s="954"/>
      <c r="D589" s="971"/>
      <c r="E589" s="956"/>
      <c r="F589" s="1013">
        <f t="shared" si="16"/>
        <v>0</v>
      </c>
      <c r="G589" s="944"/>
    </row>
    <row r="590" spans="1:7" s="1015" customFormat="1">
      <c r="A590" s="1028" t="s">
        <v>211</v>
      </c>
      <c r="B590" s="1039" t="s">
        <v>212</v>
      </c>
      <c r="C590" s="1020" t="s">
        <v>9</v>
      </c>
      <c r="D590" s="1021">
        <v>175</v>
      </c>
      <c r="E590" s="1012"/>
      <c r="F590" s="1013">
        <f t="shared" si="16"/>
        <v>0</v>
      </c>
      <c r="G590" s="1014"/>
    </row>
    <row r="591" spans="1:7" ht="8.25" customHeight="1">
      <c r="A591" s="972"/>
      <c r="B591" s="970"/>
      <c r="C591" s="954"/>
      <c r="D591" s="971"/>
      <c r="E591" s="956"/>
      <c r="F591" s="1013">
        <f t="shared" si="16"/>
        <v>0</v>
      </c>
      <c r="G591" s="944"/>
    </row>
    <row r="592" spans="1:7" s="1015" customFormat="1" ht="46.5">
      <c r="A592" s="1028" t="s">
        <v>213</v>
      </c>
      <c r="B592" s="1019" t="s">
        <v>214</v>
      </c>
      <c r="C592" s="1020" t="s">
        <v>9</v>
      </c>
      <c r="D592" s="1021">
        <v>250</v>
      </c>
      <c r="E592" s="1012"/>
      <c r="F592" s="1013">
        <f t="shared" si="16"/>
        <v>0</v>
      </c>
      <c r="G592" s="1014"/>
    </row>
    <row r="593" spans="1:7" ht="8.25" customHeight="1">
      <c r="A593" s="972"/>
      <c r="B593" s="970"/>
      <c r="C593" s="954"/>
      <c r="D593" s="971"/>
      <c r="E593" s="956"/>
      <c r="F593" s="1013">
        <f t="shared" si="16"/>
        <v>0</v>
      </c>
      <c r="G593" s="944"/>
    </row>
    <row r="594" spans="1:7" s="1015" customFormat="1" ht="46.5">
      <c r="A594" s="1028" t="s">
        <v>215</v>
      </c>
      <c r="B594" s="1019" t="s">
        <v>216</v>
      </c>
      <c r="C594" s="1020" t="s">
        <v>9</v>
      </c>
      <c r="D594" s="1021">
        <v>75</v>
      </c>
      <c r="E594" s="1012"/>
      <c r="F594" s="1013">
        <f t="shared" si="16"/>
        <v>0</v>
      </c>
      <c r="G594" s="1014"/>
    </row>
    <row r="595" spans="1:7" ht="8.25" customHeight="1">
      <c r="A595" s="972"/>
      <c r="B595" s="970"/>
      <c r="C595" s="954"/>
      <c r="D595" s="971"/>
      <c r="E595" s="956"/>
      <c r="F595" s="1013">
        <f t="shared" si="16"/>
        <v>0</v>
      </c>
      <c r="G595" s="944"/>
    </row>
    <row r="596" spans="1:7" s="1015" customFormat="1">
      <c r="A596" s="1028" t="s">
        <v>217</v>
      </c>
      <c r="B596" s="1039" t="s">
        <v>218</v>
      </c>
      <c r="C596" s="1020" t="s">
        <v>9</v>
      </c>
      <c r="D596" s="1021">
        <v>75</v>
      </c>
      <c r="E596" s="1012"/>
      <c r="F596" s="1013">
        <f t="shared" si="16"/>
        <v>0</v>
      </c>
      <c r="G596" s="1014"/>
    </row>
    <row r="597" spans="1:7" ht="8.25" customHeight="1">
      <c r="A597" s="972"/>
      <c r="B597" s="970"/>
      <c r="C597" s="954"/>
      <c r="D597" s="971"/>
      <c r="E597" s="956"/>
      <c r="F597" s="1013">
        <f t="shared" si="16"/>
        <v>0</v>
      </c>
      <c r="G597" s="944"/>
    </row>
    <row r="598" spans="1:7" s="1015" customFormat="1">
      <c r="A598" s="1028" t="s">
        <v>219</v>
      </c>
      <c r="B598" s="1039" t="s">
        <v>220</v>
      </c>
      <c r="C598" s="1020" t="s">
        <v>9</v>
      </c>
      <c r="D598" s="1021">
        <v>100</v>
      </c>
      <c r="E598" s="1012"/>
      <c r="F598" s="1013">
        <f t="shared" si="16"/>
        <v>0</v>
      </c>
      <c r="G598" s="1014"/>
    </row>
    <row r="599" spans="1:7" ht="8.25" customHeight="1">
      <c r="A599" s="972"/>
      <c r="B599" s="970"/>
      <c r="C599" s="954"/>
      <c r="D599" s="971"/>
      <c r="E599" s="956"/>
      <c r="F599" s="1013">
        <f t="shared" si="16"/>
        <v>0</v>
      </c>
      <c r="G599" s="944"/>
    </row>
    <row r="600" spans="1:7" s="1015" customFormat="1" ht="62">
      <c r="A600" s="1044" t="s">
        <v>221</v>
      </c>
      <c r="B600" s="1019" t="s">
        <v>222</v>
      </c>
      <c r="C600" s="1020" t="s">
        <v>9</v>
      </c>
      <c r="D600" s="1038" t="s">
        <v>223</v>
      </c>
      <c r="E600" s="1012"/>
      <c r="F600" s="1013">
        <f t="shared" si="16"/>
        <v>0</v>
      </c>
      <c r="G600" s="1014"/>
    </row>
    <row r="601" spans="1:7" ht="8.25" customHeight="1">
      <c r="A601" s="972"/>
      <c r="B601" s="970"/>
      <c r="C601" s="954"/>
      <c r="D601" s="971"/>
      <c r="E601" s="956"/>
      <c r="F601" s="1013">
        <f t="shared" si="16"/>
        <v>0</v>
      </c>
      <c r="G601" s="944"/>
    </row>
    <row r="602" spans="1:7" s="1015" customFormat="1" ht="62">
      <c r="A602" s="1028" t="s">
        <v>224</v>
      </c>
      <c r="B602" s="1019" t="s">
        <v>225</v>
      </c>
      <c r="C602" s="1020" t="s">
        <v>9</v>
      </c>
      <c r="D602" s="1021">
        <v>10</v>
      </c>
      <c r="E602" s="1012"/>
      <c r="F602" s="1013">
        <f t="shared" si="16"/>
        <v>0</v>
      </c>
      <c r="G602" s="1014"/>
    </row>
    <row r="603" spans="1:7" ht="8.25" customHeight="1">
      <c r="A603" s="972"/>
      <c r="B603" s="970"/>
      <c r="C603" s="954"/>
      <c r="D603" s="971"/>
      <c r="E603" s="956"/>
      <c r="F603" s="1013">
        <f t="shared" si="16"/>
        <v>0</v>
      </c>
      <c r="G603" s="944"/>
    </row>
    <row r="604" spans="1:7" s="1015" customFormat="1">
      <c r="A604" s="1028" t="s">
        <v>986</v>
      </c>
      <c r="B604" s="1039" t="s">
        <v>218</v>
      </c>
      <c r="C604" s="1020" t="s">
        <v>9</v>
      </c>
      <c r="D604" s="1021">
        <v>5</v>
      </c>
      <c r="E604" s="1012"/>
      <c r="F604" s="1013">
        <f t="shared" si="16"/>
        <v>0</v>
      </c>
      <c r="G604" s="1014"/>
    </row>
    <row r="605" spans="1:7" ht="8.25" customHeight="1">
      <c r="A605" s="972"/>
      <c r="B605" s="970"/>
      <c r="C605" s="954"/>
      <c r="D605" s="971"/>
      <c r="E605" s="956"/>
      <c r="F605" s="1013">
        <f t="shared" si="16"/>
        <v>0</v>
      </c>
      <c r="G605" s="944"/>
    </row>
    <row r="606" spans="1:7" s="1015" customFormat="1">
      <c r="A606" s="1045" t="s">
        <v>985</v>
      </c>
      <c r="B606" s="1039" t="s">
        <v>220</v>
      </c>
      <c r="C606" s="1020" t="s">
        <v>9</v>
      </c>
      <c r="D606" s="1021">
        <v>5</v>
      </c>
      <c r="E606" s="1012"/>
      <c r="F606" s="1013">
        <f t="shared" si="16"/>
        <v>0</v>
      </c>
      <c r="G606" s="1014"/>
    </row>
    <row r="607" spans="1:7" s="1015" customFormat="1">
      <c r="A607" s="1028"/>
      <c r="B607" s="1037"/>
      <c r="C607" s="1043"/>
      <c r="D607" s="1038"/>
      <c r="E607" s="1012"/>
      <c r="F607" s="1013">
        <f t="shared" si="16"/>
        <v>0</v>
      </c>
      <c r="G607" s="1014"/>
    </row>
    <row r="608" spans="1:7" s="1015" customFormat="1">
      <c r="A608" s="1028"/>
      <c r="B608" s="1037"/>
      <c r="C608" s="1043"/>
      <c r="D608" s="1038"/>
      <c r="E608" s="1012"/>
      <c r="F608" s="1013"/>
      <c r="G608" s="1128"/>
    </row>
    <row r="609" spans="1:7" s="1015" customFormat="1" ht="16" thickBot="1">
      <c r="A609" s="1562" t="s">
        <v>966</v>
      </c>
      <c r="B609" s="1563"/>
      <c r="C609" s="1563"/>
      <c r="D609" s="1563"/>
      <c r="E609" s="1564"/>
      <c r="F609" s="976">
        <f>SUM(F567:F608)</f>
        <v>0</v>
      </c>
      <c r="G609" s="1128"/>
    </row>
    <row r="610" spans="1:7" ht="8.25" customHeight="1" thickTop="1">
      <c r="A610" s="972" t="s">
        <v>15</v>
      </c>
      <c r="B610" s="970"/>
      <c r="C610" s="954"/>
      <c r="D610" s="971"/>
      <c r="E610" s="956"/>
      <c r="F610" s="1013">
        <f t="shared" si="16"/>
        <v>0</v>
      </c>
      <c r="G610" s="944"/>
    </row>
    <row r="611" spans="1:7" s="1015" customFormat="1">
      <c r="A611" s="1028"/>
      <c r="B611" s="1040" t="s">
        <v>226</v>
      </c>
      <c r="C611" s="1020"/>
      <c r="D611" s="1038"/>
      <c r="E611" s="1012"/>
      <c r="F611" s="1013">
        <f t="shared" si="16"/>
        <v>0</v>
      </c>
      <c r="G611" s="1014"/>
    </row>
    <row r="612" spans="1:7" ht="8.25" customHeight="1">
      <c r="A612" s="972"/>
      <c r="B612" s="970"/>
      <c r="C612" s="954"/>
      <c r="D612" s="971"/>
      <c r="E612" s="956"/>
      <c r="F612" s="1013">
        <f t="shared" si="16"/>
        <v>0</v>
      </c>
      <c r="G612" s="944"/>
    </row>
    <row r="613" spans="1:7" s="1015" customFormat="1" ht="62">
      <c r="A613" s="1028" t="s">
        <v>984</v>
      </c>
      <c r="B613" s="1019" t="s">
        <v>227</v>
      </c>
      <c r="C613" s="1020" t="s">
        <v>9</v>
      </c>
      <c r="D613" s="1021">
        <v>15</v>
      </c>
      <c r="E613" s="1012"/>
      <c r="F613" s="1013">
        <f t="shared" si="16"/>
        <v>0</v>
      </c>
      <c r="G613" s="1014"/>
    </row>
    <row r="614" spans="1:7" ht="8.25" customHeight="1">
      <c r="A614" s="972"/>
      <c r="B614" s="970"/>
      <c r="C614" s="954"/>
      <c r="D614" s="971"/>
      <c r="E614" s="956"/>
      <c r="F614" s="1013">
        <f t="shared" si="16"/>
        <v>0</v>
      </c>
      <c r="G614" s="944"/>
    </row>
    <row r="615" spans="1:7" s="1015" customFormat="1">
      <c r="A615" s="1028"/>
      <c r="B615" s="1040" t="s">
        <v>228</v>
      </c>
      <c r="C615" s="1020"/>
      <c r="D615" s="1038"/>
      <c r="E615" s="1012"/>
      <c r="F615" s="1013">
        <f t="shared" si="16"/>
        <v>0</v>
      </c>
      <c r="G615" s="1014"/>
    </row>
    <row r="616" spans="1:7" ht="8.25" customHeight="1">
      <c r="A616" s="972"/>
      <c r="B616" s="970"/>
      <c r="C616" s="954"/>
      <c r="D616" s="971"/>
      <c r="E616" s="956"/>
      <c r="F616" s="1013">
        <f t="shared" si="16"/>
        <v>0</v>
      </c>
      <c r="G616" s="944"/>
    </row>
    <row r="617" spans="1:7" s="1015" customFormat="1" ht="46.5">
      <c r="A617" s="1045" t="s">
        <v>983</v>
      </c>
      <c r="B617" s="1019" t="s">
        <v>982</v>
      </c>
      <c r="C617" s="1020" t="s">
        <v>43</v>
      </c>
      <c r="D617" s="1021">
        <v>2</v>
      </c>
      <c r="E617" s="1012"/>
      <c r="F617" s="1013">
        <f t="shared" si="16"/>
        <v>0</v>
      </c>
      <c r="G617" s="1014"/>
    </row>
    <row r="618" spans="1:7" ht="8.25" customHeight="1">
      <c r="A618" s="1115"/>
      <c r="B618" s="970"/>
      <c r="C618" s="1104"/>
      <c r="D618" s="1105"/>
      <c r="E618" s="956"/>
      <c r="F618" s="975"/>
      <c r="G618" s="944"/>
    </row>
    <row r="619" spans="1:7" s="1015" customFormat="1">
      <c r="A619" s="1008">
        <v>2.5</v>
      </c>
      <c r="B619" s="1134" t="s">
        <v>229</v>
      </c>
      <c r="C619" s="1010"/>
      <c r="D619" s="1010"/>
      <c r="E619" s="1135"/>
      <c r="F619" s="1013"/>
      <c r="G619" s="1014"/>
    </row>
    <row r="620" spans="1:7" ht="6.9" customHeight="1">
      <c r="A620" s="972"/>
      <c r="B620" s="970"/>
      <c r="C620" s="954"/>
      <c r="D620" s="971"/>
      <c r="E620" s="956"/>
      <c r="F620" s="926"/>
      <c r="G620" s="944"/>
    </row>
    <row r="621" spans="1:7" s="1015" customFormat="1" ht="77.5">
      <c r="A621" s="1044" t="s">
        <v>981</v>
      </c>
      <c r="B621" s="1030" t="s">
        <v>230</v>
      </c>
      <c r="C621" s="1010" t="s">
        <v>9</v>
      </c>
      <c r="D621" s="1010">
        <v>500</v>
      </c>
      <c r="E621" s="1048"/>
      <c r="F621" s="1013">
        <f t="shared" ref="F621:F639" si="17">E621*D621</f>
        <v>0</v>
      </c>
      <c r="G621" s="1014"/>
    </row>
    <row r="622" spans="1:7" ht="6.9" customHeight="1">
      <c r="A622" s="972"/>
      <c r="B622" s="970"/>
      <c r="C622" s="954"/>
      <c r="D622" s="971"/>
      <c r="E622" s="956"/>
      <c r="F622" s="1013">
        <f t="shared" si="17"/>
        <v>0</v>
      </c>
      <c r="G622" s="944"/>
    </row>
    <row r="623" spans="1:7" s="1015" customFormat="1" ht="31">
      <c r="A623" s="1044" t="s">
        <v>980</v>
      </c>
      <c r="B623" s="1030" t="s">
        <v>231</v>
      </c>
      <c r="C623" s="1136" t="s">
        <v>9</v>
      </c>
      <c r="D623" s="1136">
        <v>500</v>
      </c>
      <c r="E623" s="1137"/>
      <c r="F623" s="1138">
        <f t="shared" si="17"/>
        <v>0</v>
      </c>
      <c r="G623" s="1014"/>
    </row>
    <row r="624" spans="1:7" s="1015" customFormat="1" ht="9" customHeight="1">
      <c r="A624" s="1044"/>
      <c r="B624" s="1030"/>
      <c r="C624" s="1010"/>
      <c r="D624" s="1010"/>
      <c r="E624" s="1048"/>
      <c r="F624" s="1013">
        <f t="shared" si="17"/>
        <v>0</v>
      </c>
      <c r="G624" s="1014"/>
    </row>
    <row r="625" spans="1:7" s="1015" customFormat="1">
      <c r="A625" s="1044"/>
      <c r="B625" s="1047" t="s">
        <v>232</v>
      </c>
      <c r="C625" s="1046"/>
      <c r="D625" s="1046"/>
      <c r="E625" s="1048"/>
      <c r="F625" s="1013">
        <f t="shared" si="17"/>
        <v>0</v>
      </c>
      <c r="G625" s="1014"/>
    </row>
    <row r="626" spans="1:7" ht="6.9" customHeight="1">
      <c r="A626" s="972"/>
      <c r="B626" s="970"/>
      <c r="C626" s="954"/>
      <c r="D626" s="971"/>
      <c r="E626" s="956"/>
      <c r="F626" s="1013">
        <f t="shared" si="17"/>
        <v>0</v>
      </c>
      <c r="G626" s="944"/>
    </row>
    <row r="627" spans="1:7" s="1015" customFormat="1" ht="78" customHeight="1">
      <c r="A627" s="972" t="s">
        <v>979</v>
      </c>
      <c r="B627" s="958" t="s">
        <v>978</v>
      </c>
      <c r="C627" s="1046" t="s">
        <v>43</v>
      </c>
      <c r="D627" s="1046">
        <v>4</v>
      </c>
      <c r="E627" s="1048"/>
      <c r="F627" s="1013">
        <f t="shared" si="17"/>
        <v>0</v>
      </c>
      <c r="G627" s="1014"/>
    </row>
    <row r="628" spans="1:7" ht="6.9" customHeight="1">
      <c r="A628" s="972"/>
      <c r="B628" s="970"/>
      <c r="C628" s="954"/>
      <c r="D628" s="971"/>
      <c r="E628" s="956"/>
      <c r="F628" s="1013">
        <f t="shared" si="17"/>
        <v>0</v>
      </c>
      <c r="G628" s="944"/>
    </row>
    <row r="629" spans="1:7" s="1015" customFormat="1">
      <c r="A629" s="1008">
        <v>2.6</v>
      </c>
      <c r="B629" s="1009" t="s">
        <v>233</v>
      </c>
      <c r="C629" s="1010"/>
      <c r="D629" s="1010"/>
      <c r="E629" s="1048"/>
      <c r="F629" s="1013">
        <f t="shared" si="17"/>
        <v>0</v>
      </c>
      <c r="G629" s="1014"/>
    </row>
    <row r="630" spans="1:7" ht="6.9" customHeight="1">
      <c r="A630" s="972"/>
      <c r="B630" s="970"/>
      <c r="C630" s="954"/>
      <c r="D630" s="971"/>
      <c r="E630" s="956"/>
      <c r="F630" s="1013">
        <f t="shared" si="17"/>
        <v>0</v>
      </c>
      <c r="G630" s="944"/>
    </row>
    <row r="631" spans="1:7" s="1015" customFormat="1" ht="52.5" customHeight="1">
      <c r="A631" s="1028" t="s">
        <v>977</v>
      </c>
      <c r="B631" s="1030" t="s">
        <v>976</v>
      </c>
      <c r="C631" s="1010" t="s">
        <v>43</v>
      </c>
      <c r="D631" s="1010">
        <v>1</v>
      </c>
      <c r="E631" s="1048"/>
      <c r="F631" s="1013">
        <f t="shared" si="17"/>
        <v>0</v>
      </c>
      <c r="G631" s="1014"/>
    </row>
    <row r="632" spans="1:7" ht="6.9" customHeight="1">
      <c r="A632" s="972"/>
      <c r="B632" s="970"/>
      <c r="C632" s="954"/>
      <c r="D632" s="971"/>
      <c r="E632" s="956"/>
      <c r="F632" s="1013">
        <f t="shared" si="17"/>
        <v>0</v>
      </c>
      <c r="G632" s="944"/>
    </row>
    <row r="633" spans="1:7" s="1015" customFormat="1" ht="46.5">
      <c r="A633" s="1028" t="s">
        <v>975</v>
      </c>
      <c r="B633" s="1049" t="s">
        <v>974</v>
      </c>
      <c r="C633" s="1136" t="s">
        <v>43</v>
      </c>
      <c r="D633" s="1136">
        <v>1</v>
      </c>
      <c r="E633" s="1137"/>
      <c r="F633" s="1138">
        <f t="shared" si="17"/>
        <v>0</v>
      </c>
      <c r="G633" s="1014"/>
    </row>
    <row r="634" spans="1:7" s="1015" customFormat="1" ht="9.65" customHeight="1">
      <c r="A634" s="1028"/>
      <c r="B634" s="1030"/>
      <c r="C634" s="1010"/>
      <c r="D634" s="1010"/>
      <c r="E634" s="1048"/>
      <c r="F634" s="1013">
        <f t="shared" si="17"/>
        <v>0</v>
      </c>
      <c r="G634" s="1014"/>
    </row>
    <row r="635" spans="1:7" s="1015" customFormat="1" ht="46.5">
      <c r="A635" s="1028" t="s">
        <v>973</v>
      </c>
      <c r="B635" s="1049" t="s">
        <v>972</v>
      </c>
      <c r="C635" s="1136" t="s">
        <v>43</v>
      </c>
      <c r="D635" s="1136">
        <v>2</v>
      </c>
      <c r="E635" s="1137"/>
      <c r="F635" s="1138">
        <f t="shared" si="17"/>
        <v>0</v>
      </c>
      <c r="G635" s="1014"/>
    </row>
    <row r="636" spans="1:7" ht="6.9" customHeight="1">
      <c r="A636" s="972"/>
      <c r="B636" s="970"/>
      <c r="C636" s="954"/>
      <c r="D636" s="971"/>
      <c r="E636" s="956"/>
      <c r="F636" s="1013">
        <f t="shared" si="17"/>
        <v>0</v>
      </c>
      <c r="G636" s="944"/>
    </row>
    <row r="637" spans="1:7" s="1015" customFormat="1">
      <c r="A637" s="1008">
        <v>2.7</v>
      </c>
      <c r="B637" s="1009" t="s">
        <v>234</v>
      </c>
      <c r="C637" s="1010"/>
      <c r="D637" s="1010"/>
      <c r="E637" s="1048"/>
      <c r="F637" s="1013">
        <f t="shared" si="17"/>
        <v>0</v>
      </c>
      <c r="G637" s="1014"/>
    </row>
    <row r="638" spans="1:7" ht="6.9" customHeight="1">
      <c r="A638" s="972"/>
      <c r="B638" s="970"/>
      <c r="C638" s="954"/>
      <c r="D638" s="971"/>
      <c r="E638" s="956"/>
      <c r="F638" s="1013">
        <f t="shared" si="17"/>
        <v>0</v>
      </c>
      <c r="G638" s="944"/>
    </row>
    <row r="639" spans="1:7" s="1015" customFormat="1" ht="78" customHeight="1">
      <c r="A639" s="1028" t="s">
        <v>971</v>
      </c>
      <c r="B639" s="1030" t="s">
        <v>1490</v>
      </c>
      <c r="C639" s="1010" t="s">
        <v>43</v>
      </c>
      <c r="D639" s="1010">
        <v>1</v>
      </c>
      <c r="E639" s="1048"/>
      <c r="F639" s="1013">
        <f t="shared" si="17"/>
        <v>0</v>
      </c>
      <c r="G639" s="1014"/>
    </row>
    <row r="640" spans="1:7" ht="6.9" customHeight="1">
      <c r="A640" s="972"/>
      <c r="B640" s="970"/>
      <c r="C640" s="954"/>
      <c r="D640" s="971"/>
      <c r="E640" s="956"/>
      <c r="F640" s="926"/>
      <c r="G640" s="944"/>
    </row>
    <row r="641" spans="1:7" s="1015" customFormat="1" ht="46.5">
      <c r="A641" s="1028" t="s">
        <v>970</v>
      </c>
      <c r="B641" s="1030" t="s">
        <v>969</v>
      </c>
      <c r="C641" s="1010" t="s">
        <v>0</v>
      </c>
      <c r="D641" s="1010" t="s">
        <v>235</v>
      </c>
      <c r="E641" s="1048"/>
      <c r="F641" s="1013"/>
      <c r="G641" s="1014"/>
    </row>
    <row r="642" spans="1:7" ht="6.9" customHeight="1">
      <c r="A642" s="972"/>
      <c r="B642" s="970"/>
      <c r="C642" s="954"/>
      <c r="D642" s="971"/>
      <c r="E642" s="956"/>
      <c r="F642" s="926"/>
      <c r="G642" s="944"/>
    </row>
    <row r="643" spans="1:7" ht="6.9" customHeight="1">
      <c r="A643" s="972"/>
      <c r="B643" s="970"/>
      <c r="C643" s="954"/>
      <c r="D643" s="971"/>
      <c r="E643" s="956"/>
      <c r="F643" s="926"/>
      <c r="G643" s="944"/>
    </row>
    <row r="644" spans="1:7" ht="16" thickBot="1">
      <c r="A644" s="1562" t="s">
        <v>966</v>
      </c>
      <c r="B644" s="1563"/>
      <c r="C644" s="1563"/>
      <c r="D644" s="1563"/>
      <c r="E644" s="1564"/>
      <c r="F644" s="976">
        <f>SUM(F613:F641)</f>
        <v>0</v>
      </c>
      <c r="G644" s="944"/>
    </row>
    <row r="645" spans="1:7" s="1015" customFormat="1" ht="31.5" thickTop="1">
      <c r="A645" s="1008">
        <v>2.8</v>
      </c>
      <c r="B645" s="1009" t="s">
        <v>236</v>
      </c>
      <c r="C645" s="1010"/>
      <c r="D645" s="1010"/>
      <c r="E645" s="1048"/>
      <c r="F645" s="1013"/>
      <c r="G645" s="1014"/>
    </row>
    <row r="646" spans="1:7" ht="6.9" customHeight="1">
      <c r="A646" s="972"/>
      <c r="B646" s="970"/>
      <c r="C646" s="954"/>
      <c r="D646" s="971"/>
      <c r="E646" s="956"/>
      <c r="F646" s="926"/>
      <c r="G646" s="944"/>
    </row>
    <row r="647" spans="1:7" s="1015" customFormat="1" ht="79.5" customHeight="1">
      <c r="A647" s="1028" t="s">
        <v>968</v>
      </c>
      <c r="B647" s="1019" t="s">
        <v>237</v>
      </c>
      <c r="C647" s="1046" t="s">
        <v>0</v>
      </c>
      <c r="D647" s="1010" t="s">
        <v>12</v>
      </c>
      <c r="E647" s="1048"/>
      <c r="F647" s="1013">
        <f>E647</f>
        <v>0</v>
      </c>
      <c r="G647" s="1014"/>
    </row>
    <row r="648" spans="1:7" ht="6.9" customHeight="1">
      <c r="A648" s="972"/>
      <c r="B648" s="970"/>
      <c r="C648" s="954"/>
      <c r="D648" s="971"/>
      <c r="E648" s="956"/>
      <c r="F648" s="926"/>
      <c r="G648" s="944"/>
    </row>
    <row r="649" spans="1:7" s="1015" customFormat="1" ht="66" customHeight="1">
      <c r="A649" s="1028" t="s">
        <v>967</v>
      </c>
      <c r="B649" s="1019" t="s">
        <v>238</v>
      </c>
      <c r="C649" s="1046" t="s">
        <v>1477</v>
      </c>
      <c r="D649" s="1010">
        <v>1550</v>
      </c>
      <c r="E649" s="1048"/>
      <c r="F649" s="1013">
        <f>E649*D649</f>
        <v>0</v>
      </c>
      <c r="G649" s="1014"/>
    </row>
    <row r="650" spans="1:7" s="1015" customFormat="1">
      <c r="A650" s="1028"/>
      <c r="B650" s="1019"/>
      <c r="C650" s="1046"/>
      <c r="D650" s="1010"/>
      <c r="E650" s="1048"/>
      <c r="F650" s="1013"/>
      <c r="G650" s="1128"/>
    </row>
    <row r="651" spans="1:7" s="1015" customFormat="1">
      <c r="A651" s="1028"/>
      <c r="B651" s="1019"/>
      <c r="C651" s="1046"/>
      <c r="D651" s="1010"/>
      <c r="E651" s="1048"/>
      <c r="F651" s="1013"/>
      <c r="G651" s="1128"/>
    </row>
    <row r="652" spans="1:7" s="1015" customFormat="1">
      <c r="A652" s="1028"/>
      <c r="B652" s="1019"/>
      <c r="C652" s="1046"/>
      <c r="D652" s="1010"/>
      <c r="E652" s="1048"/>
      <c r="F652" s="1013"/>
      <c r="G652" s="1128"/>
    </row>
    <row r="653" spans="1:7" s="1015" customFormat="1">
      <c r="A653" s="1028"/>
      <c r="B653" s="1019"/>
      <c r="C653" s="1046"/>
      <c r="D653" s="1010"/>
      <c r="E653" s="1048"/>
      <c r="F653" s="1013"/>
      <c r="G653" s="1128"/>
    </row>
    <row r="654" spans="1:7" s="1015" customFormat="1">
      <c r="A654" s="1028"/>
      <c r="B654" s="1019"/>
      <c r="C654" s="1046"/>
      <c r="D654" s="1010"/>
      <c r="E654" s="1048"/>
      <c r="F654" s="1013"/>
      <c r="G654" s="1128"/>
    </row>
    <row r="655" spans="1:7" s="1015" customFormat="1">
      <c r="A655" s="1028"/>
      <c r="B655" s="1019"/>
      <c r="C655" s="1046"/>
      <c r="D655" s="1010"/>
      <c r="E655" s="1048"/>
      <c r="F655" s="1013"/>
      <c r="G655" s="1128"/>
    </row>
    <row r="656" spans="1:7" s="1015" customFormat="1">
      <c r="A656" s="1028"/>
      <c r="B656" s="1019"/>
      <c r="C656" s="1046"/>
      <c r="D656" s="1010"/>
      <c r="E656" s="1048"/>
      <c r="F656" s="1013"/>
      <c r="G656" s="1128"/>
    </row>
    <row r="657" spans="1:7" s="1015" customFormat="1">
      <c r="A657" s="1028"/>
      <c r="B657" s="1019"/>
      <c r="C657" s="1046"/>
      <c r="D657" s="1010"/>
      <c r="E657" s="1048"/>
      <c r="F657" s="1013"/>
      <c r="G657" s="1128"/>
    </row>
    <row r="658" spans="1:7" s="1015" customFormat="1">
      <c r="A658" s="1028"/>
      <c r="B658" s="1019"/>
      <c r="C658" s="1046"/>
      <c r="D658" s="1010"/>
      <c r="E658" s="1048"/>
      <c r="F658" s="1013"/>
      <c r="G658" s="1128"/>
    </row>
    <row r="659" spans="1:7" s="1015" customFormat="1">
      <c r="A659" s="1028"/>
      <c r="B659" s="1019"/>
      <c r="C659" s="1046"/>
      <c r="D659" s="1010"/>
      <c r="E659" s="1048"/>
      <c r="F659" s="1013"/>
      <c r="G659" s="1128"/>
    </row>
    <row r="660" spans="1:7" s="1015" customFormat="1">
      <c r="A660" s="1028"/>
      <c r="B660" s="1019"/>
      <c r="C660" s="1046"/>
      <c r="D660" s="1010"/>
      <c r="E660" s="1048"/>
      <c r="F660" s="1013"/>
      <c r="G660" s="1128"/>
    </row>
    <row r="661" spans="1:7" s="1015" customFormat="1">
      <c r="A661" s="1028"/>
      <c r="B661" s="1019"/>
      <c r="C661" s="1046"/>
      <c r="D661" s="1010"/>
      <c r="E661" s="1048"/>
      <c r="F661" s="1013"/>
      <c r="G661" s="1128"/>
    </row>
    <row r="662" spans="1:7" s="1015" customFormat="1">
      <c r="A662" s="1028"/>
      <c r="B662" s="1019"/>
      <c r="C662" s="1046"/>
      <c r="D662" s="1010"/>
      <c r="E662" s="1048"/>
      <c r="F662" s="1013"/>
      <c r="G662" s="1128"/>
    </row>
    <row r="663" spans="1:7" s="1015" customFormat="1">
      <c r="A663" s="1028"/>
      <c r="B663" s="1019"/>
      <c r="C663" s="1046"/>
      <c r="D663" s="1010"/>
      <c r="E663" s="1048"/>
      <c r="F663" s="1013"/>
      <c r="G663" s="1128"/>
    </row>
    <row r="664" spans="1:7" s="1015" customFormat="1">
      <c r="A664" s="1028"/>
      <c r="B664" s="1019"/>
      <c r="C664" s="1046"/>
      <c r="D664" s="1010"/>
      <c r="E664" s="1048"/>
      <c r="F664" s="1013"/>
      <c r="G664" s="1128"/>
    </row>
    <row r="665" spans="1:7" s="1015" customFormat="1">
      <c r="A665" s="1028"/>
      <c r="B665" s="1019"/>
      <c r="C665" s="1046"/>
      <c r="D665" s="1010"/>
      <c r="E665" s="1048"/>
      <c r="F665" s="1013"/>
      <c r="G665" s="1128"/>
    </row>
    <row r="666" spans="1:7" s="1015" customFormat="1">
      <c r="A666" s="1028"/>
      <c r="B666" s="1019"/>
      <c r="C666" s="1046"/>
      <c r="D666" s="1010"/>
      <c r="E666" s="1048"/>
      <c r="F666" s="1013"/>
      <c r="G666" s="1128"/>
    </row>
    <row r="667" spans="1:7" s="1015" customFormat="1">
      <c r="A667" s="1028"/>
      <c r="B667" s="1019"/>
      <c r="C667" s="1046"/>
      <c r="D667" s="1010"/>
      <c r="E667" s="1048"/>
      <c r="F667" s="1013"/>
      <c r="G667" s="1128"/>
    </row>
    <row r="668" spans="1:7" s="1015" customFormat="1">
      <c r="A668" s="1028"/>
      <c r="B668" s="1019"/>
      <c r="C668" s="1046"/>
      <c r="D668" s="1010"/>
      <c r="E668" s="1048"/>
      <c r="F668" s="1013"/>
      <c r="G668" s="1128"/>
    </row>
    <row r="669" spans="1:7" s="1015" customFormat="1">
      <c r="A669" s="1028"/>
      <c r="B669" s="1019"/>
      <c r="C669" s="1046"/>
      <c r="D669" s="1010"/>
      <c r="E669" s="1048"/>
      <c r="F669" s="1013"/>
      <c r="G669" s="1128"/>
    </row>
    <row r="670" spans="1:7" s="1015" customFormat="1">
      <c r="A670" s="1028"/>
      <c r="B670" s="1019"/>
      <c r="C670" s="1046"/>
      <c r="D670" s="1010"/>
      <c r="E670" s="1048"/>
      <c r="F670" s="1013"/>
      <c r="G670" s="1128"/>
    </row>
    <row r="671" spans="1:7" s="1015" customFormat="1">
      <c r="A671" s="1028"/>
      <c r="B671" s="1019"/>
      <c r="C671" s="1046"/>
      <c r="D671" s="1010"/>
      <c r="E671" s="1048"/>
      <c r="F671" s="1013"/>
      <c r="G671" s="1128"/>
    </row>
    <row r="672" spans="1:7" s="1015" customFormat="1">
      <c r="A672" s="1028"/>
      <c r="B672" s="1019"/>
      <c r="C672" s="1046"/>
      <c r="D672" s="1010"/>
      <c r="E672" s="1048"/>
      <c r="F672" s="1013"/>
      <c r="G672" s="1128"/>
    </row>
    <row r="673" spans="1:7" s="1015" customFormat="1">
      <c r="A673" s="1028"/>
      <c r="B673" s="1019"/>
      <c r="C673" s="1046"/>
      <c r="D673" s="1010"/>
      <c r="E673" s="1048"/>
      <c r="F673" s="1013"/>
      <c r="G673" s="1128"/>
    </row>
    <row r="674" spans="1:7" s="1015" customFormat="1">
      <c r="A674" s="1028"/>
      <c r="B674" s="1019"/>
      <c r="C674" s="1046"/>
      <c r="D674" s="1010"/>
      <c r="E674" s="1048"/>
      <c r="F674" s="1013"/>
      <c r="G674" s="1128"/>
    </row>
    <row r="675" spans="1:7" s="1015" customFormat="1">
      <c r="A675" s="1028"/>
      <c r="B675" s="1019"/>
      <c r="C675" s="1046"/>
      <c r="D675" s="1010"/>
      <c r="E675" s="1048"/>
      <c r="F675" s="1013"/>
      <c r="G675" s="1128"/>
    </row>
    <row r="676" spans="1:7" s="1015" customFormat="1">
      <c r="A676" s="1028"/>
      <c r="B676" s="1019"/>
      <c r="C676" s="1046"/>
      <c r="D676" s="1010"/>
      <c r="E676" s="1048"/>
      <c r="F676" s="1013"/>
      <c r="G676" s="1128"/>
    </row>
    <row r="677" spans="1:7" s="1015" customFormat="1">
      <c r="A677" s="1028"/>
      <c r="B677" s="1019"/>
      <c r="C677" s="1046"/>
      <c r="D677" s="1010"/>
      <c r="E677" s="1048"/>
      <c r="F677" s="1013"/>
      <c r="G677" s="1128"/>
    </row>
    <row r="678" spans="1:7" s="1015" customFormat="1">
      <c r="A678" s="1028"/>
      <c r="B678" s="1019"/>
      <c r="C678" s="1046"/>
      <c r="D678" s="1010"/>
      <c r="E678" s="1048"/>
      <c r="F678" s="1013"/>
      <c r="G678" s="1128"/>
    </row>
    <row r="679" spans="1:7" s="1015" customFormat="1">
      <c r="A679" s="1028"/>
      <c r="B679" s="1019"/>
      <c r="C679" s="1046"/>
      <c r="D679" s="1010"/>
      <c r="E679" s="1048"/>
      <c r="F679" s="1013"/>
      <c r="G679" s="1128"/>
    </row>
    <row r="680" spans="1:7" s="1015" customFormat="1">
      <c r="A680" s="1028"/>
      <c r="B680" s="1019"/>
      <c r="C680" s="1046"/>
      <c r="D680" s="1010"/>
      <c r="E680" s="1048"/>
      <c r="F680" s="1013"/>
      <c r="G680" s="1128"/>
    </row>
    <row r="681" spans="1:7" s="1015" customFormat="1">
      <c r="A681" s="1028"/>
      <c r="B681" s="1019"/>
      <c r="C681" s="1046"/>
      <c r="D681" s="1010"/>
      <c r="E681" s="1048"/>
      <c r="F681" s="1013"/>
      <c r="G681" s="1128"/>
    </row>
    <row r="682" spans="1:7" s="1015" customFormat="1">
      <c r="A682" s="1028"/>
      <c r="B682" s="1019"/>
      <c r="C682" s="1046"/>
      <c r="D682" s="1010"/>
      <c r="E682" s="1048"/>
      <c r="F682" s="1013"/>
      <c r="G682" s="1128"/>
    </row>
    <row r="683" spans="1:7" s="1015" customFormat="1">
      <c r="A683" s="1028"/>
      <c r="B683" s="1019"/>
      <c r="C683" s="1046"/>
      <c r="D683" s="1010"/>
      <c r="E683" s="1048"/>
      <c r="F683" s="1013"/>
      <c r="G683" s="1128"/>
    </row>
    <row r="684" spans="1:7" s="1015" customFormat="1">
      <c r="A684" s="1028"/>
      <c r="B684" s="1019"/>
      <c r="C684" s="1046"/>
      <c r="D684" s="1010"/>
      <c r="E684" s="1048"/>
      <c r="F684" s="1013"/>
      <c r="G684" s="1128"/>
    </row>
    <row r="685" spans="1:7" s="1015" customFormat="1">
      <c r="A685" s="1028"/>
      <c r="B685" s="1019"/>
      <c r="C685" s="1046"/>
      <c r="D685" s="1010"/>
      <c r="E685" s="1048"/>
      <c r="F685" s="1013"/>
      <c r="G685" s="1128"/>
    </row>
    <row r="686" spans="1:7" s="1015" customFormat="1">
      <c r="A686" s="1028"/>
      <c r="B686" s="1019"/>
      <c r="C686" s="1046"/>
      <c r="D686" s="1010"/>
      <c r="E686" s="1048"/>
      <c r="F686" s="1013"/>
      <c r="G686" s="1128"/>
    </row>
    <row r="687" spans="1:7" s="1015" customFormat="1">
      <c r="A687" s="1028"/>
      <c r="B687" s="1019"/>
      <c r="C687" s="1046"/>
      <c r="D687" s="1010"/>
      <c r="E687" s="1048"/>
      <c r="F687" s="1013"/>
      <c r="G687" s="1128"/>
    </row>
    <row r="688" spans="1:7" s="1015" customFormat="1">
      <c r="A688" s="1028"/>
      <c r="B688" s="1019"/>
      <c r="C688" s="1046"/>
      <c r="D688" s="1010"/>
      <c r="E688" s="1048"/>
      <c r="F688" s="1013"/>
      <c r="G688" s="1128"/>
    </row>
    <row r="689" spans="1:11" s="1015" customFormat="1">
      <c r="A689" s="1028"/>
      <c r="B689" s="1019"/>
      <c r="C689" s="1046"/>
      <c r="D689" s="1010"/>
      <c r="E689" s="1048"/>
      <c r="F689" s="1013"/>
      <c r="G689" s="1128"/>
    </row>
    <row r="690" spans="1:11" s="1015" customFormat="1">
      <c r="A690" s="1028"/>
      <c r="B690" s="1019"/>
      <c r="C690" s="1046"/>
      <c r="D690" s="1010"/>
      <c r="E690" s="1048"/>
      <c r="F690" s="1013"/>
      <c r="G690" s="1128"/>
    </row>
    <row r="691" spans="1:11" ht="8.25" customHeight="1">
      <c r="A691" s="972"/>
      <c r="B691" s="970"/>
      <c r="C691" s="954"/>
      <c r="D691" s="971"/>
      <c r="E691" s="956"/>
      <c r="F691" s="926"/>
      <c r="G691" s="944"/>
    </row>
    <row r="692" spans="1:11" s="1042" customFormat="1" ht="17.25" customHeight="1" thickBot="1">
      <c r="A692" s="1559" t="s">
        <v>966</v>
      </c>
      <c r="B692" s="1560"/>
      <c r="C692" s="1560"/>
      <c r="D692" s="1560"/>
      <c r="E692" s="1561"/>
      <c r="F692" s="1035">
        <f>SUM(F647:F691)</f>
        <v>0</v>
      </c>
    </row>
    <row r="693" spans="1:11" s="996" customFormat="1" ht="16" thickTop="1">
      <c r="A693" s="1050"/>
      <c r="B693" s="1051"/>
      <c r="C693" s="1052"/>
      <c r="D693" s="1053"/>
      <c r="E693" s="1054"/>
      <c r="F693" s="1055" t="s">
        <v>965</v>
      </c>
      <c r="H693" s="944"/>
      <c r="I693" s="944"/>
      <c r="J693" s="944"/>
      <c r="K693" s="944"/>
    </row>
    <row r="694" spans="1:11" s="996" customFormat="1" ht="16" thickBot="1">
      <c r="A694" s="1056"/>
      <c r="B694" s="1057"/>
      <c r="C694" s="1057"/>
      <c r="D694" s="1058"/>
      <c r="E694" s="1059"/>
      <c r="F694" s="1060" t="s">
        <v>964</v>
      </c>
      <c r="H694" s="944"/>
      <c r="I694" s="944"/>
      <c r="J694" s="944"/>
      <c r="K694" s="944"/>
    </row>
    <row r="695" spans="1:11" s="996" customFormat="1">
      <c r="A695" s="1061"/>
      <c r="B695" s="1062"/>
      <c r="C695" s="1062"/>
      <c r="D695" s="1063"/>
      <c r="E695" s="1064"/>
      <c r="F695" s="1065"/>
      <c r="H695" s="944"/>
      <c r="I695" s="944"/>
      <c r="J695" s="944"/>
      <c r="K695" s="944"/>
    </row>
    <row r="696" spans="1:11" s="996" customFormat="1">
      <c r="A696" s="1066"/>
      <c r="B696" s="1067" t="s">
        <v>1492</v>
      </c>
      <c r="C696" s="1068"/>
      <c r="D696" s="1069"/>
      <c r="E696" s="1070"/>
      <c r="F696" s="1071">
        <f>F36</f>
        <v>0</v>
      </c>
      <c r="H696" s="944"/>
      <c r="I696" s="944"/>
      <c r="J696" s="944"/>
      <c r="K696" s="944"/>
    </row>
    <row r="697" spans="1:11" s="996" customFormat="1">
      <c r="A697" s="1066"/>
      <c r="B697" s="1072"/>
      <c r="C697" s="1068"/>
      <c r="D697" s="1073"/>
      <c r="E697" s="1070"/>
      <c r="F697" s="1071"/>
      <c r="H697" s="944"/>
      <c r="I697" s="944"/>
      <c r="J697" s="944"/>
      <c r="K697" s="944"/>
    </row>
    <row r="698" spans="1:11" s="996" customFormat="1">
      <c r="A698" s="1066"/>
      <c r="B698" s="1067" t="s">
        <v>1493</v>
      </c>
      <c r="C698" s="1068"/>
      <c r="D698" s="1069"/>
      <c r="E698" s="1070"/>
      <c r="F698" s="1071">
        <f>F104</f>
        <v>0</v>
      </c>
      <c r="H698" s="944"/>
      <c r="I698" s="944"/>
      <c r="J698" s="944"/>
      <c r="K698" s="944"/>
    </row>
    <row r="699" spans="1:11" s="996" customFormat="1">
      <c r="A699" s="1066"/>
      <c r="B699" s="1072"/>
      <c r="C699" s="1068"/>
      <c r="D699" s="1073"/>
      <c r="E699" s="1070"/>
      <c r="F699" s="1071"/>
      <c r="H699" s="944"/>
      <c r="I699" s="944"/>
      <c r="J699" s="944"/>
      <c r="K699" s="944"/>
    </row>
    <row r="700" spans="1:11" s="996" customFormat="1">
      <c r="A700" s="1066"/>
      <c r="B700" s="1067" t="s">
        <v>1494</v>
      </c>
      <c r="C700" s="1068"/>
      <c r="D700" s="1069"/>
      <c r="E700" s="1070"/>
      <c r="F700" s="1071">
        <f>F157</f>
        <v>0</v>
      </c>
      <c r="H700" s="944"/>
      <c r="I700" s="944"/>
      <c r="J700" s="944"/>
      <c r="K700" s="944"/>
    </row>
    <row r="701" spans="1:11">
      <c r="A701" s="1066"/>
      <c r="B701" s="1072"/>
      <c r="C701" s="1068"/>
      <c r="D701" s="1073"/>
      <c r="E701" s="1070"/>
      <c r="F701" s="1071"/>
    </row>
    <row r="702" spans="1:11">
      <c r="A702" s="1066"/>
      <c r="B702" s="1067" t="s">
        <v>1495</v>
      </c>
      <c r="C702" s="1068"/>
      <c r="D702" s="1069"/>
      <c r="E702" s="1070"/>
      <c r="F702" s="1071">
        <f>F209</f>
        <v>0</v>
      </c>
    </row>
    <row r="703" spans="1:11">
      <c r="A703" s="1066"/>
      <c r="B703" s="1072"/>
      <c r="C703" s="1068"/>
      <c r="D703" s="1073"/>
      <c r="E703" s="1070"/>
      <c r="F703" s="1071"/>
    </row>
    <row r="704" spans="1:11">
      <c r="A704" s="1066"/>
      <c r="B704" s="1067" t="s">
        <v>1496</v>
      </c>
      <c r="C704" s="1068"/>
      <c r="D704" s="1069"/>
      <c r="E704" s="1070"/>
      <c r="F704" s="1071">
        <f>F257</f>
        <v>0</v>
      </c>
    </row>
    <row r="705" spans="1:6">
      <c r="A705" s="1066"/>
      <c r="B705" s="1072"/>
      <c r="C705" s="1068"/>
      <c r="D705" s="1073"/>
      <c r="E705" s="1070"/>
      <c r="F705" s="1071"/>
    </row>
    <row r="706" spans="1:6">
      <c r="A706" s="1066"/>
      <c r="B706" s="1067" t="s">
        <v>1497</v>
      </c>
      <c r="C706" s="1068"/>
      <c r="D706" s="1069"/>
      <c r="E706" s="1070"/>
      <c r="F706" s="1071">
        <f>F305</f>
        <v>0</v>
      </c>
    </row>
    <row r="707" spans="1:6">
      <c r="A707" s="1066"/>
      <c r="B707" s="1072"/>
      <c r="C707" s="1068"/>
      <c r="D707" s="1073"/>
      <c r="E707" s="1070"/>
      <c r="F707" s="1071"/>
    </row>
    <row r="708" spans="1:6">
      <c r="A708" s="1066"/>
      <c r="B708" s="1067" t="s">
        <v>1498</v>
      </c>
      <c r="C708" s="1068"/>
      <c r="D708" s="1069"/>
      <c r="E708" s="1070"/>
      <c r="F708" s="1071">
        <f>F354</f>
        <v>0</v>
      </c>
    </row>
    <row r="709" spans="1:6">
      <c r="A709" s="1066"/>
      <c r="B709" s="1072"/>
      <c r="C709" s="1068"/>
      <c r="D709" s="1073"/>
      <c r="E709" s="1070"/>
      <c r="F709" s="1071"/>
    </row>
    <row r="710" spans="1:6">
      <c r="A710" s="1066"/>
      <c r="B710" s="1067" t="s">
        <v>1499</v>
      </c>
      <c r="C710" s="1068"/>
      <c r="D710" s="1069"/>
      <c r="E710" s="1070"/>
      <c r="F710" s="1071">
        <f>F404</f>
        <v>0</v>
      </c>
    </row>
    <row r="711" spans="1:6">
      <c r="A711" s="1066"/>
      <c r="B711" s="1072"/>
      <c r="C711" s="1068"/>
      <c r="D711" s="1073"/>
      <c r="E711" s="1070"/>
      <c r="F711" s="1071"/>
    </row>
    <row r="712" spans="1:6">
      <c r="A712" s="1066"/>
      <c r="B712" s="1067" t="s">
        <v>1500</v>
      </c>
      <c r="C712" s="1068"/>
      <c r="D712" s="1069"/>
      <c r="E712" s="1070"/>
      <c r="F712" s="1071">
        <f>F447</f>
        <v>0</v>
      </c>
    </row>
    <row r="713" spans="1:6">
      <c r="A713" s="1066"/>
      <c r="B713" s="1072"/>
      <c r="C713" s="1068"/>
      <c r="D713" s="1073"/>
      <c r="E713" s="1070"/>
      <c r="F713" s="1071"/>
    </row>
    <row r="714" spans="1:6">
      <c r="A714" s="1066"/>
      <c r="B714" s="1067" t="s">
        <v>1501</v>
      </c>
      <c r="C714" s="1068"/>
      <c r="D714" s="1069"/>
      <c r="E714" s="1070"/>
      <c r="F714" s="1071">
        <f>F489</f>
        <v>0</v>
      </c>
    </row>
    <row r="715" spans="1:6">
      <c r="A715" s="1066"/>
      <c r="B715" s="1072"/>
      <c r="C715" s="1068"/>
      <c r="D715" s="1073"/>
      <c r="E715" s="1070"/>
      <c r="F715" s="1071"/>
    </row>
    <row r="716" spans="1:6">
      <c r="A716" s="1066"/>
      <c r="B716" s="1067" t="s">
        <v>1502</v>
      </c>
      <c r="C716" s="1068"/>
      <c r="D716" s="1069"/>
      <c r="E716" s="1070"/>
      <c r="F716" s="1071"/>
    </row>
    <row r="717" spans="1:6">
      <c r="A717" s="1066"/>
      <c r="B717" s="1072"/>
      <c r="C717" s="1068"/>
      <c r="D717" s="1073"/>
      <c r="E717" s="1070"/>
      <c r="F717" s="1071"/>
    </row>
    <row r="718" spans="1:6">
      <c r="A718" s="1066"/>
      <c r="B718" s="1067" t="s">
        <v>1503</v>
      </c>
      <c r="C718" s="1068"/>
      <c r="D718" s="1069"/>
      <c r="E718" s="1070"/>
      <c r="F718" s="1071"/>
    </row>
    <row r="719" spans="1:6">
      <c r="A719" s="1066"/>
      <c r="B719" s="1072"/>
      <c r="C719" s="1068"/>
      <c r="D719" s="1073"/>
      <c r="E719" s="1070"/>
      <c r="F719" s="1071"/>
    </row>
    <row r="720" spans="1:6">
      <c r="A720" s="1066"/>
      <c r="B720" s="1067" t="s">
        <v>1504</v>
      </c>
      <c r="C720" s="1068"/>
      <c r="D720" s="1069"/>
      <c r="E720" s="1070"/>
      <c r="F720" s="1071"/>
    </row>
    <row r="721" spans="1:6">
      <c r="A721" s="1066"/>
      <c r="B721" s="1072"/>
      <c r="C721" s="1068"/>
      <c r="D721" s="1073"/>
      <c r="E721" s="1070"/>
      <c r="F721" s="1060"/>
    </row>
    <row r="722" spans="1:6">
      <c r="A722" s="1066"/>
      <c r="B722" s="1067" t="s">
        <v>1505</v>
      </c>
      <c r="C722" s="1068"/>
      <c r="D722" s="1069"/>
      <c r="E722" s="1070"/>
      <c r="F722" s="1060"/>
    </row>
    <row r="723" spans="1:6">
      <c r="A723" s="1066"/>
      <c r="B723" s="1072"/>
      <c r="C723" s="1068"/>
      <c r="D723" s="1073"/>
      <c r="E723" s="1070"/>
      <c r="F723" s="1060"/>
    </row>
    <row r="724" spans="1:6">
      <c r="A724" s="1066"/>
      <c r="B724" s="1067" t="s">
        <v>1506</v>
      </c>
      <c r="C724" s="1068"/>
      <c r="D724" s="1069"/>
      <c r="E724" s="1070"/>
      <c r="F724" s="1060"/>
    </row>
    <row r="725" spans="1:6">
      <c r="A725" s="1066"/>
      <c r="B725" s="1072"/>
      <c r="C725" s="1068"/>
      <c r="D725" s="1073"/>
      <c r="E725" s="1070"/>
      <c r="F725" s="1060"/>
    </row>
    <row r="726" spans="1:6">
      <c r="A726" s="1066"/>
      <c r="B726" s="1067"/>
      <c r="C726" s="1068"/>
      <c r="D726" s="1069"/>
      <c r="E726" s="1070"/>
      <c r="F726" s="1060"/>
    </row>
    <row r="727" spans="1:6">
      <c r="A727" s="1066"/>
      <c r="B727" s="1072"/>
      <c r="C727" s="1068"/>
      <c r="D727" s="1073"/>
      <c r="E727" s="1070"/>
      <c r="F727" s="1060"/>
    </row>
    <row r="728" spans="1:6">
      <c r="A728" s="1066"/>
      <c r="B728" s="1067"/>
      <c r="C728" s="1068"/>
      <c r="D728" s="1069"/>
      <c r="E728" s="1070"/>
      <c r="F728" s="1060"/>
    </row>
    <row r="729" spans="1:6">
      <c r="A729" s="1066"/>
      <c r="B729" s="1067"/>
      <c r="C729" s="1068"/>
      <c r="D729" s="1069"/>
      <c r="E729" s="1070"/>
      <c r="F729" s="1060"/>
    </row>
    <row r="730" spans="1:6">
      <c r="A730" s="1074"/>
      <c r="B730" s="1075"/>
      <c r="C730" s="1076"/>
      <c r="D730" s="1077"/>
      <c r="E730" s="1070"/>
      <c r="F730" s="1078"/>
    </row>
    <row r="731" spans="1:6">
      <c r="A731" s="1079"/>
      <c r="B731" s="1080"/>
      <c r="C731" s="1081"/>
      <c r="D731" s="1082"/>
      <c r="E731" s="1083"/>
      <c r="F731" s="1084"/>
    </row>
    <row r="732" spans="1:6" ht="24.75" customHeight="1">
      <c r="A732" s="1066"/>
      <c r="B732" s="1557" t="s">
        <v>1507</v>
      </c>
      <c r="C732" s="1558"/>
      <c r="D732" s="1069">
        <f>SUM(D696:D731)</f>
        <v>0</v>
      </c>
      <c r="E732" s="995"/>
      <c r="F732" s="1085">
        <f>SUM(F696:F731)</f>
        <v>0</v>
      </c>
    </row>
    <row r="733" spans="1:6" ht="16" thickBot="1">
      <c r="A733" s="1086"/>
      <c r="B733" s="1087"/>
      <c r="C733" s="1088"/>
      <c r="D733" s="1089"/>
      <c r="E733" s="1090"/>
      <c r="F733" s="1091"/>
    </row>
    <row r="734" spans="1:6" ht="16" thickTop="1"/>
  </sheetData>
  <sheetProtection formatCells="0" formatColumns="0" formatRows="0" selectLockedCells="1" sort="0" autoFilter="0" pivotTables="0"/>
  <mergeCells count="17">
    <mergeCell ref="A404:E404"/>
    <mergeCell ref="B2:E2"/>
    <mergeCell ref="A36:E36"/>
    <mergeCell ref="A104:E104"/>
    <mergeCell ref="A157:E157"/>
    <mergeCell ref="A209:E209"/>
    <mergeCell ref="A257:E257"/>
    <mergeCell ref="A305:E305"/>
    <mergeCell ref="A354:E354"/>
    <mergeCell ref="B732:C732"/>
    <mergeCell ref="A692:E692"/>
    <mergeCell ref="A447:E447"/>
    <mergeCell ref="A489:E489"/>
    <mergeCell ref="A525:E525"/>
    <mergeCell ref="A565:E565"/>
    <mergeCell ref="A609:E609"/>
    <mergeCell ref="A644:E644"/>
  </mergeCells>
  <printOptions horizontalCentered="1"/>
  <pageMargins left="0.74803149606299202" right="0.39370078740157499" top="1" bottom="0.70866141732283505" header="0.511811023622047" footer="0.511811023622047"/>
  <pageSetup paperSize="9" scale="80" orientation="portrait" r:id="rId1"/>
  <headerFooter alignWithMargins="0">
    <oddHeader>&amp;LWater and Sanitation Development Project&amp;RSecond Baricho Kakuyuni Water Supply Project</oddHeader>
    <oddFooter>&amp;L&amp;A&amp;R&amp;P</oddFooter>
  </headerFooter>
  <rowBreaks count="14" manualBreakCount="14">
    <brk id="36" max="6" man="1"/>
    <brk id="104" max="6" man="1"/>
    <brk id="157" max="6" man="1"/>
    <brk id="209" max="6" man="1"/>
    <brk id="257" max="6" man="1"/>
    <brk id="305" max="6" man="1"/>
    <brk id="354" max="6" man="1"/>
    <brk id="404" max="6" man="1"/>
    <brk id="447" max="6" man="1"/>
    <brk id="489" max="16383" man="1"/>
    <brk id="525" max="6" man="1"/>
    <brk id="565" max="6" man="1"/>
    <brk id="609" max="6" man="1"/>
    <brk id="644" max="6" man="1"/>
  </rowBreaks>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84"/>
  <sheetViews>
    <sheetView topLeftCell="A129" zoomScaleNormal="100" zoomScaleSheetLayoutView="70" workbookViewId="0">
      <selection activeCell="F147" sqref="F147"/>
    </sheetView>
  </sheetViews>
  <sheetFormatPr defaultColWidth="9.6328125" defaultRowHeight="14.5"/>
  <cols>
    <col min="1" max="1" width="6.81640625" style="1148" customWidth="1"/>
    <col min="2" max="2" width="92.08984375" style="1149" customWidth="1"/>
    <col min="3" max="3" width="7.81640625" style="1150" customWidth="1"/>
    <col min="4" max="4" width="6.90625" style="1151" customWidth="1"/>
    <col min="5" max="5" width="16.36328125" style="1151" customWidth="1"/>
    <col min="6" max="6" width="16.1796875" style="1152" customWidth="1"/>
    <col min="7" max="7" width="13.6328125" style="1148" customWidth="1"/>
    <col min="8" max="8" width="11.6328125" style="1148" customWidth="1"/>
    <col min="9" max="253" width="8" style="1148" customWidth="1"/>
    <col min="254" max="254" width="9.6328125" style="1148"/>
    <col min="255" max="255" width="9.6328125" style="1148" customWidth="1"/>
    <col min="256" max="256" width="47.36328125" style="1148" customWidth="1"/>
    <col min="257" max="257" width="5.453125" style="1148" customWidth="1"/>
    <col min="258" max="258" width="10.08984375" style="1148" bestFit="1" customWidth="1"/>
    <col min="259" max="259" width="10.08984375" style="1148" customWidth="1"/>
    <col min="260" max="260" width="11.6328125" style="1148" customWidth="1"/>
    <col min="261" max="261" width="0" style="1148" hidden="1" customWidth="1"/>
    <col min="262" max="262" width="8" style="1148" customWidth="1"/>
    <col min="263" max="263" width="13.6328125" style="1148" customWidth="1"/>
    <col min="264" max="264" width="11.6328125" style="1148" customWidth="1"/>
    <col min="265" max="509" width="8" style="1148" customWidth="1"/>
    <col min="510" max="510" width="9.6328125" style="1148"/>
    <col min="511" max="511" width="9.6328125" style="1148" customWidth="1"/>
    <col min="512" max="512" width="47.36328125" style="1148" customWidth="1"/>
    <col min="513" max="513" width="5.453125" style="1148" customWidth="1"/>
    <col min="514" max="514" width="10.08984375" style="1148" bestFit="1" customWidth="1"/>
    <col min="515" max="515" width="10.08984375" style="1148" customWidth="1"/>
    <col min="516" max="516" width="11.6328125" style="1148" customWidth="1"/>
    <col min="517" max="517" width="0" style="1148" hidden="1" customWidth="1"/>
    <col min="518" max="518" width="8" style="1148" customWidth="1"/>
    <col min="519" max="519" width="13.6328125" style="1148" customWidth="1"/>
    <col min="520" max="520" width="11.6328125" style="1148" customWidth="1"/>
    <col min="521" max="765" width="8" style="1148" customWidth="1"/>
    <col min="766" max="766" width="9.6328125" style="1148"/>
    <col min="767" max="767" width="9.6328125" style="1148" customWidth="1"/>
    <col min="768" max="768" width="47.36328125" style="1148" customWidth="1"/>
    <col min="769" max="769" width="5.453125" style="1148" customWidth="1"/>
    <col min="770" max="770" width="10.08984375" style="1148" bestFit="1" customWidth="1"/>
    <col min="771" max="771" width="10.08984375" style="1148" customWidth="1"/>
    <col min="772" max="772" width="11.6328125" style="1148" customWidth="1"/>
    <col min="773" max="773" width="0" style="1148" hidden="1" customWidth="1"/>
    <col min="774" max="774" width="8" style="1148" customWidth="1"/>
    <col min="775" max="775" width="13.6328125" style="1148" customWidth="1"/>
    <col min="776" max="776" width="11.6328125" style="1148" customWidth="1"/>
    <col min="777" max="1021" width="8" style="1148" customWidth="1"/>
    <col min="1022" max="1022" width="9.6328125" style="1148"/>
    <col min="1023" max="1023" width="9.6328125" style="1148" customWidth="1"/>
    <col min="1024" max="1024" width="47.36328125" style="1148" customWidth="1"/>
    <col min="1025" max="1025" width="5.453125" style="1148" customWidth="1"/>
    <col min="1026" max="1026" width="10.08984375" style="1148" bestFit="1" customWidth="1"/>
    <col min="1027" max="1027" width="10.08984375" style="1148" customWidth="1"/>
    <col min="1028" max="1028" width="11.6328125" style="1148" customWidth="1"/>
    <col min="1029" max="1029" width="0" style="1148" hidden="1" customWidth="1"/>
    <col min="1030" max="1030" width="8" style="1148" customWidth="1"/>
    <col min="1031" max="1031" width="13.6328125" style="1148" customWidth="1"/>
    <col min="1032" max="1032" width="11.6328125" style="1148" customWidth="1"/>
    <col min="1033" max="1277" width="8" style="1148" customWidth="1"/>
    <col min="1278" max="1278" width="9.6328125" style="1148"/>
    <col min="1279" max="1279" width="9.6328125" style="1148" customWidth="1"/>
    <col min="1280" max="1280" width="47.36328125" style="1148" customWidth="1"/>
    <col min="1281" max="1281" width="5.453125" style="1148" customWidth="1"/>
    <col min="1282" max="1282" width="10.08984375" style="1148" bestFit="1" customWidth="1"/>
    <col min="1283" max="1283" width="10.08984375" style="1148" customWidth="1"/>
    <col min="1284" max="1284" width="11.6328125" style="1148" customWidth="1"/>
    <col min="1285" max="1285" width="0" style="1148" hidden="1" customWidth="1"/>
    <col min="1286" max="1286" width="8" style="1148" customWidth="1"/>
    <col min="1287" max="1287" width="13.6328125" style="1148" customWidth="1"/>
    <col min="1288" max="1288" width="11.6328125" style="1148" customWidth="1"/>
    <col min="1289" max="1533" width="8" style="1148" customWidth="1"/>
    <col min="1534" max="1534" width="9.6328125" style="1148"/>
    <col min="1535" max="1535" width="9.6328125" style="1148" customWidth="1"/>
    <col min="1536" max="1536" width="47.36328125" style="1148" customWidth="1"/>
    <col min="1537" max="1537" width="5.453125" style="1148" customWidth="1"/>
    <col min="1538" max="1538" width="10.08984375" style="1148" bestFit="1" customWidth="1"/>
    <col min="1539" max="1539" width="10.08984375" style="1148" customWidth="1"/>
    <col min="1540" max="1540" width="11.6328125" style="1148" customWidth="1"/>
    <col min="1541" max="1541" width="0" style="1148" hidden="1" customWidth="1"/>
    <col min="1542" max="1542" width="8" style="1148" customWidth="1"/>
    <col min="1543" max="1543" width="13.6328125" style="1148" customWidth="1"/>
    <col min="1544" max="1544" width="11.6328125" style="1148" customWidth="1"/>
    <col min="1545" max="1789" width="8" style="1148" customWidth="1"/>
    <col min="1790" max="1790" width="9.6328125" style="1148"/>
    <col min="1791" max="1791" width="9.6328125" style="1148" customWidth="1"/>
    <col min="1792" max="1792" width="47.36328125" style="1148" customWidth="1"/>
    <col min="1793" max="1793" width="5.453125" style="1148" customWidth="1"/>
    <col min="1794" max="1794" width="10.08984375" style="1148" bestFit="1" customWidth="1"/>
    <col min="1795" max="1795" width="10.08984375" style="1148" customWidth="1"/>
    <col min="1796" max="1796" width="11.6328125" style="1148" customWidth="1"/>
    <col min="1797" max="1797" width="0" style="1148" hidden="1" customWidth="1"/>
    <col min="1798" max="1798" width="8" style="1148" customWidth="1"/>
    <col min="1799" max="1799" width="13.6328125" style="1148" customWidth="1"/>
    <col min="1800" max="1800" width="11.6328125" style="1148" customWidth="1"/>
    <col min="1801" max="2045" width="8" style="1148" customWidth="1"/>
    <col min="2046" max="2046" width="9.6328125" style="1148"/>
    <col min="2047" max="2047" width="9.6328125" style="1148" customWidth="1"/>
    <col min="2048" max="2048" width="47.36328125" style="1148" customWidth="1"/>
    <col min="2049" max="2049" width="5.453125" style="1148" customWidth="1"/>
    <col min="2050" max="2050" width="10.08984375" style="1148" bestFit="1" customWidth="1"/>
    <col min="2051" max="2051" width="10.08984375" style="1148" customWidth="1"/>
    <col min="2052" max="2052" width="11.6328125" style="1148" customWidth="1"/>
    <col min="2053" max="2053" width="0" style="1148" hidden="1" customWidth="1"/>
    <col min="2054" max="2054" width="8" style="1148" customWidth="1"/>
    <col min="2055" max="2055" width="13.6328125" style="1148" customWidth="1"/>
    <col min="2056" max="2056" width="11.6328125" style="1148" customWidth="1"/>
    <col min="2057" max="2301" width="8" style="1148" customWidth="1"/>
    <col min="2302" max="2302" width="9.6328125" style="1148"/>
    <col min="2303" max="2303" width="9.6328125" style="1148" customWidth="1"/>
    <col min="2304" max="2304" width="47.36328125" style="1148" customWidth="1"/>
    <col min="2305" max="2305" width="5.453125" style="1148" customWidth="1"/>
    <col min="2306" max="2306" width="10.08984375" style="1148" bestFit="1" customWidth="1"/>
    <col min="2307" max="2307" width="10.08984375" style="1148" customWidth="1"/>
    <col min="2308" max="2308" width="11.6328125" style="1148" customWidth="1"/>
    <col min="2309" max="2309" width="0" style="1148" hidden="1" customWidth="1"/>
    <col min="2310" max="2310" width="8" style="1148" customWidth="1"/>
    <col min="2311" max="2311" width="13.6328125" style="1148" customWidth="1"/>
    <col min="2312" max="2312" width="11.6328125" style="1148" customWidth="1"/>
    <col min="2313" max="2557" width="8" style="1148" customWidth="1"/>
    <col min="2558" max="2558" width="9.6328125" style="1148"/>
    <col min="2559" max="2559" width="9.6328125" style="1148" customWidth="1"/>
    <col min="2560" max="2560" width="47.36328125" style="1148" customWidth="1"/>
    <col min="2561" max="2561" width="5.453125" style="1148" customWidth="1"/>
    <col min="2562" max="2562" width="10.08984375" style="1148" bestFit="1" customWidth="1"/>
    <col min="2563" max="2563" width="10.08984375" style="1148" customWidth="1"/>
    <col min="2564" max="2564" width="11.6328125" style="1148" customWidth="1"/>
    <col min="2565" max="2565" width="0" style="1148" hidden="1" customWidth="1"/>
    <col min="2566" max="2566" width="8" style="1148" customWidth="1"/>
    <col min="2567" max="2567" width="13.6328125" style="1148" customWidth="1"/>
    <col min="2568" max="2568" width="11.6328125" style="1148" customWidth="1"/>
    <col min="2569" max="2813" width="8" style="1148" customWidth="1"/>
    <col min="2814" max="2814" width="9.6328125" style="1148"/>
    <col min="2815" max="2815" width="9.6328125" style="1148" customWidth="1"/>
    <col min="2816" max="2816" width="47.36328125" style="1148" customWidth="1"/>
    <col min="2817" max="2817" width="5.453125" style="1148" customWidth="1"/>
    <col min="2818" max="2818" width="10.08984375" style="1148" bestFit="1" customWidth="1"/>
    <col min="2819" max="2819" width="10.08984375" style="1148" customWidth="1"/>
    <col min="2820" max="2820" width="11.6328125" style="1148" customWidth="1"/>
    <col min="2821" max="2821" width="0" style="1148" hidden="1" customWidth="1"/>
    <col min="2822" max="2822" width="8" style="1148" customWidth="1"/>
    <col min="2823" max="2823" width="13.6328125" style="1148" customWidth="1"/>
    <col min="2824" max="2824" width="11.6328125" style="1148" customWidth="1"/>
    <col min="2825" max="3069" width="8" style="1148" customWidth="1"/>
    <col min="3070" max="3070" width="9.6328125" style="1148"/>
    <col min="3071" max="3071" width="9.6328125" style="1148" customWidth="1"/>
    <col min="3072" max="3072" width="47.36328125" style="1148" customWidth="1"/>
    <col min="3073" max="3073" width="5.453125" style="1148" customWidth="1"/>
    <col min="3074" max="3074" width="10.08984375" style="1148" bestFit="1" customWidth="1"/>
    <col min="3075" max="3075" width="10.08984375" style="1148" customWidth="1"/>
    <col min="3076" max="3076" width="11.6328125" style="1148" customWidth="1"/>
    <col min="3077" max="3077" width="0" style="1148" hidden="1" customWidth="1"/>
    <col min="3078" max="3078" width="8" style="1148" customWidth="1"/>
    <col min="3079" max="3079" width="13.6328125" style="1148" customWidth="1"/>
    <col min="3080" max="3080" width="11.6328125" style="1148" customWidth="1"/>
    <col min="3081" max="3325" width="8" style="1148" customWidth="1"/>
    <col min="3326" max="3326" width="9.6328125" style="1148"/>
    <col min="3327" max="3327" width="9.6328125" style="1148" customWidth="1"/>
    <col min="3328" max="3328" width="47.36328125" style="1148" customWidth="1"/>
    <col min="3329" max="3329" width="5.453125" style="1148" customWidth="1"/>
    <col min="3330" max="3330" width="10.08984375" style="1148" bestFit="1" customWidth="1"/>
    <col min="3331" max="3331" width="10.08984375" style="1148" customWidth="1"/>
    <col min="3332" max="3332" width="11.6328125" style="1148" customWidth="1"/>
    <col min="3333" max="3333" width="0" style="1148" hidden="1" customWidth="1"/>
    <col min="3334" max="3334" width="8" style="1148" customWidth="1"/>
    <col min="3335" max="3335" width="13.6328125" style="1148" customWidth="1"/>
    <col min="3336" max="3336" width="11.6328125" style="1148" customWidth="1"/>
    <col min="3337" max="3581" width="8" style="1148" customWidth="1"/>
    <col min="3582" max="3582" width="9.6328125" style="1148"/>
    <col min="3583" max="3583" width="9.6328125" style="1148" customWidth="1"/>
    <col min="3584" max="3584" width="47.36328125" style="1148" customWidth="1"/>
    <col min="3585" max="3585" width="5.453125" style="1148" customWidth="1"/>
    <col min="3586" max="3586" width="10.08984375" style="1148" bestFit="1" customWidth="1"/>
    <col min="3587" max="3587" width="10.08984375" style="1148" customWidth="1"/>
    <col min="3588" max="3588" width="11.6328125" style="1148" customWidth="1"/>
    <col min="3589" max="3589" width="0" style="1148" hidden="1" customWidth="1"/>
    <col min="3590" max="3590" width="8" style="1148" customWidth="1"/>
    <col min="3591" max="3591" width="13.6328125" style="1148" customWidth="1"/>
    <col min="3592" max="3592" width="11.6328125" style="1148" customWidth="1"/>
    <col min="3593" max="3837" width="8" style="1148" customWidth="1"/>
    <col min="3838" max="3838" width="9.6328125" style="1148"/>
    <col min="3839" max="3839" width="9.6328125" style="1148" customWidth="1"/>
    <col min="3840" max="3840" width="47.36328125" style="1148" customWidth="1"/>
    <col min="3841" max="3841" width="5.453125" style="1148" customWidth="1"/>
    <col min="3842" max="3842" width="10.08984375" style="1148" bestFit="1" customWidth="1"/>
    <col min="3843" max="3843" width="10.08984375" style="1148" customWidth="1"/>
    <col min="3844" max="3844" width="11.6328125" style="1148" customWidth="1"/>
    <col min="3845" max="3845" width="0" style="1148" hidden="1" customWidth="1"/>
    <col min="3846" max="3846" width="8" style="1148" customWidth="1"/>
    <col min="3847" max="3847" width="13.6328125" style="1148" customWidth="1"/>
    <col min="3848" max="3848" width="11.6328125" style="1148" customWidth="1"/>
    <col min="3849" max="4093" width="8" style="1148" customWidth="1"/>
    <col min="4094" max="4094" width="9.6328125" style="1148"/>
    <col min="4095" max="4095" width="9.6328125" style="1148" customWidth="1"/>
    <col min="4096" max="4096" width="47.36328125" style="1148" customWidth="1"/>
    <col min="4097" max="4097" width="5.453125" style="1148" customWidth="1"/>
    <col min="4098" max="4098" width="10.08984375" style="1148" bestFit="1" customWidth="1"/>
    <col min="4099" max="4099" width="10.08984375" style="1148" customWidth="1"/>
    <col min="4100" max="4100" width="11.6328125" style="1148" customWidth="1"/>
    <col min="4101" max="4101" width="0" style="1148" hidden="1" customWidth="1"/>
    <col min="4102" max="4102" width="8" style="1148" customWidth="1"/>
    <col min="4103" max="4103" width="13.6328125" style="1148" customWidth="1"/>
    <col min="4104" max="4104" width="11.6328125" style="1148" customWidth="1"/>
    <col min="4105" max="4349" width="8" style="1148" customWidth="1"/>
    <col min="4350" max="4350" width="9.6328125" style="1148"/>
    <col min="4351" max="4351" width="9.6328125" style="1148" customWidth="1"/>
    <col min="4352" max="4352" width="47.36328125" style="1148" customWidth="1"/>
    <col min="4353" max="4353" width="5.453125" style="1148" customWidth="1"/>
    <col min="4354" max="4354" width="10.08984375" style="1148" bestFit="1" customWidth="1"/>
    <col min="4355" max="4355" width="10.08984375" style="1148" customWidth="1"/>
    <col min="4356" max="4356" width="11.6328125" style="1148" customWidth="1"/>
    <col min="4357" max="4357" width="0" style="1148" hidden="1" customWidth="1"/>
    <col min="4358" max="4358" width="8" style="1148" customWidth="1"/>
    <col min="4359" max="4359" width="13.6328125" style="1148" customWidth="1"/>
    <col min="4360" max="4360" width="11.6328125" style="1148" customWidth="1"/>
    <col min="4361" max="4605" width="8" style="1148" customWidth="1"/>
    <col min="4606" max="4606" width="9.6328125" style="1148"/>
    <col min="4607" max="4607" width="9.6328125" style="1148" customWidth="1"/>
    <col min="4608" max="4608" width="47.36328125" style="1148" customWidth="1"/>
    <col min="4609" max="4609" width="5.453125" style="1148" customWidth="1"/>
    <col min="4610" max="4610" width="10.08984375" style="1148" bestFit="1" customWidth="1"/>
    <col min="4611" max="4611" width="10.08984375" style="1148" customWidth="1"/>
    <col min="4612" max="4612" width="11.6328125" style="1148" customWidth="1"/>
    <col min="4613" max="4613" width="0" style="1148" hidden="1" customWidth="1"/>
    <col min="4614" max="4614" width="8" style="1148" customWidth="1"/>
    <col min="4615" max="4615" width="13.6328125" style="1148" customWidth="1"/>
    <col min="4616" max="4616" width="11.6328125" style="1148" customWidth="1"/>
    <col min="4617" max="4861" width="8" style="1148" customWidth="1"/>
    <col min="4862" max="4862" width="9.6328125" style="1148"/>
    <col min="4863" max="4863" width="9.6328125" style="1148" customWidth="1"/>
    <col min="4864" max="4864" width="47.36328125" style="1148" customWidth="1"/>
    <col min="4865" max="4865" width="5.453125" style="1148" customWidth="1"/>
    <col min="4866" max="4866" width="10.08984375" style="1148" bestFit="1" customWidth="1"/>
    <col min="4867" max="4867" width="10.08984375" style="1148" customWidth="1"/>
    <col min="4868" max="4868" width="11.6328125" style="1148" customWidth="1"/>
    <col min="4869" max="4869" width="0" style="1148" hidden="1" customWidth="1"/>
    <col min="4870" max="4870" width="8" style="1148" customWidth="1"/>
    <col min="4871" max="4871" width="13.6328125" style="1148" customWidth="1"/>
    <col min="4872" max="4872" width="11.6328125" style="1148" customWidth="1"/>
    <col min="4873" max="5117" width="8" style="1148" customWidth="1"/>
    <col min="5118" max="5118" width="9.6328125" style="1148"/>
    <col min="5119" max="5119" width="9.6328125" style="1148" customWidth="1"/>
    <col min="5120" max="5120" width="47.36328125" style="1148" customWidth="1"/>
    <col min="5121" max="5121" width="5.453125" style="1148" customWidth="1"/>
    <col min="5122" max="5122" width="10.08984375" style="1148" bestFit="1" customWidth="1"/>
    <col min="5123" max="5123" width="10.08984375" style="1148" customWidth="1"/>
    <col min="5124" max="5124" width="11.6328125" style="1148" customWidth="1"/>
    <col min="5125" max="5125" width="0" style="1148" hidden="1" customWidth="1"/>
    <col min="5126" max="5126" width="8" style="1148" customWidth="1"/>
    <col min="5127" max="5127" width="13.6328125" style="1148" customWidth="1"/>
    <col min="5128" max="5128" width="11.6328125" style="1148" customWidth="1"/>
    <col min="5129" max="5373" width="8" style="1148" customWidth="1"/>
    <col min="5374" max="5374" width="9.6328125" style="1148"/>
    <col min="5375" max="5375" width="9.6328125" style="1148" customWidth="1"/>
    <col min="5376" max="5376" width="47.36328125" style="1148" customWidth="1"/>
    <col min="5377" max="5377" width="5.453125" style="1148" customWidth="1"/>
    <col min="5378" max="5378" width="10.08984375" style="1148" bestFit="1" customWidth="1"/>
    <col min="5379" max="5379" width="10.08984375" style="1148" customWidth="1"/>
    <col min="5380" max="5380" width="11.6328125" style="1148" customWidth="1"/>
    <col min="5381" max="5381" width="0" style="1148" hidden="1" customWidth="1"/>
    <col min="5382" max="5382" width="8" style="1148" customWidth="1"/>
    <col min="5383" max="5383" width="13.6328125" style="1148" customWidth="1"/>
    <col min="5384" max="5384" width="11.6328125" style="1148" customWidth="1"/>
    <col min="5385" max="5629" width="8" style="1148" customWidth="1"/>
    <col min="5630" max="5630" width="9.6328125" style="1148"/>
    <col min="5631" max="5631" width="9.6328125" style="1148" customWidth="1"/>
    <col min="5632" max="5632" width="47.36328125" style="1148" customWidth="1"/>
    <col min="5633" max="5633" width="5.453125" style="1148" customWidth="1"/>
    <col min="5634" max="5634" width="10.08984375" style="1148" bestFit="1" customWidth="1"/>
    <col min="5635" max="5635" width="10.08984375" style="1148" customWidth="1"/>
    <col min="5636" max="5636" width="11.6328125" style="1148" customWidth="1"/>
    <col min="5637" max="5637" width="0" style="1148" hidden="1" customWidth="1"/>
    <col min="5638" max="5638" width="8" style="1148" customWidth="1"/>
    <col min="5639" max="5639" width="13.6328125" style="1148" customWidth="1"/>
    <col min="5640" max="5640" width="11.6328125" style="1148" customWidth="1"/>
    <col min="5641" max="5885" width="8" style="1148" customWidth="1"/>
    <col min="5886" max="5886" width="9.6328125" style="1148"/>
    <col min="5887" max="5887" width="9.6328125" style="1148" customWidth="1"/>
    <col min="5888" max="5888" width="47.36328125" style="1148" customWidth="1"/>
    <col min="5889" max="5889" width="5.453125" style="1148" customWidth="1"/>
    <col min="5890" max="5890" width="10.08984375" style="1148" bestFit="1" customWidth="1"/>
    <col min="5891" max="5891" width="10.08984375" style="1148" customWidth="1"/>
    <col min="5892" max="5892" width="11.6328125" style="1148" customWidth="1"/>
    <col min="5893" max="5893" width="0" style="1148" hidden="1" customWidth="1"/>
    <col min="5894" max="5894" width="8" style="1148" customWidth="1"/>
    <col min="5895" max="5895" width="13.6328125" style="1148" customWidth="1"/>
    <col min="5896" max="5896" width="11.6328125" style="1148" customWidth="1"/>
    <col min="5897" max="6141" width="8" style="1148" customWidth="1"/>
    <col min="6142" max="6142" width="9.6328125" style="1148"/>
    <col min="6143" max="6143" width="9.6328125" style="1148" customWidth="1"/>
    <col min="6144" max="6144" width="47.36328125" style="1148" customWidth="1"/>
    <col min="6145" max="6145" width="5.453125" style="1148" customWidth="1"/>
    <col min="6146" max="6146" width="10.08984375" style="1148" bestFit="1" customWidth="1"/>
    <col min="6147" max="6147" width="10.08984375" style="1148" customWidth="1"/>
    <col min="6148" max="6148" width="11.6328125" style="1148" customWidth="1"/>
    <col min="6149" max="6149" width="0" style="1148" hidden="1" customWidth="1"/>
    <col min="6150" max="6150" width="8" style="1148" customWidth="1"/>
    <col min="6151" max="6151" width="13.6328125" style="1148" customWidth="1"/>
    <col min="6152" max="6152" width="11.6328125" style="1148" customWidth="1"/>
    <col min="6153" max="6397" width="8" style="1148" customWidth="1"/>
    <col min="6398" max="6398" width="9.6328125" style="1148"/>
    <col min="6399" max="6399" width="9.6328125" style="1148" customWidth="1"/>
    <col min="6400" max="6400" width="47.36328125" style="1148" customWidth="1"/>
    <col min="6401" max="6401" width="5.453125" style="1148" customWidth="1"/>
    <col min="6402" max="6402" width="10.08984375" style="1148" bestFit="1" customWidth="1"/>
    <col min="6403" max="6403" width="10.08984375" style="1148" customWidth="1"/>
    <col min="6404" max="6404" width="11.6328125" style="1148" customWidth="1"/>
    <col min="6405" max="6405" width="0" style="1148" hidden="1" customWidth="1"/>
    <col min="6406" max="6406" width="8" style="1148" customWidth="1"/>
    <col min="6407" max="6407" width="13.6328125" style="1148" customWidth="1"/>
    <col min="6408" max="6408" width="11.6328125" style="1148" customWidth="1"/>
    <col min="6409" max="6653" width="8" style="1148" customWidth="1"/>
    <col min="6654" max="6654" width="9.6328125" style="1148"/>
    <col min="6655" max="6655" width="9.6328125" style="1148" customWidth="1"/>
    <col min="6656" max="6656" width="47.36328125" style="1148" customWidth="1"/>
    <col min="6657" max="6657" width="5.453125" style="1148" customWidth="1"/>
    <col min="6658" max="6658" width="10.08984375" style="1148" bestFit="1" customWidth="1"/>
    <col min="6659" max="6659" width="10.08984375" style="1148" customWidth="1"/>
    <col min="6660" max="6660" width="11.6328125" style="1148" customWidth="1"/>
    <col min="6661" max="6661" width="0" style="1148" hidden="1" customWidth="1"/>
    <col min="6662" max="6662" width="8" style="1148" customWidth="1"/>
    <col min="6663" max="6663" width="13.6328125" style="1148" customWidth="1"/>
    <col min="6664" max="6664" width="11.6328125" style="1148" customWidth="1"/>
    <col min="6665" max="6909" width="8" style="1148" customWidth="1"/>
    <col min="6910" max="6910" width="9.6328125" style="1148"/>
    <col min="6911" max="6911" width="9.6328125" style="1148" customWidth="1"/>
    <col min="6912" max="6912" width="47.36328125" style="1148" customWidth="1"/>
    <col min="6913" max="6913" width="5.453125" style="1148" customWidth="1"/>
    <col min="6914" max="6914" width="10.08984375" style="1148" bestFit="1" customWidth="1"/>
    <col min="6915" max="6915" width="10.08984375" style="1148" customWidth="1"/>
    <col min="6916" max="6916" width="11.6328125" style="1148" customWidth="1"/>
    <col min="6917" max="6917" width="0" style="1148" hidden="1" customWidth="1"/>
    <col min="6918" max="6918" width="8" style="1148" customWidth="1"/>
    <col min="6919" max="6919" width="13.6328125" style="1148" customWidth="1"/>
    <col min="6920" max="6920" width="11.6328125" style="1148" customWidth="1"/>
    <col min="6921" max="7165" width="8" style="1148" customWidth="1"/>
    <col min="7166" max="7166" width="9.6328125" style="1148"/>
    <col min="7167" max="7167" width="9.6328125" style="1148" customWidth="1"/>
    <col min="7168" max="7168" width="47.36328125" style="1148" customWidth="1"/>
    <col min="7169" max="7169" width="5.453125" style="1148" customWidth="1"/>
    <col min="7170" max="7170" width="10.08984375" style="1148" bestFit="1" customWidth="1"/>
    <col min="7171" max="7171" width="10.08984375" style="1148" customWidth="1"/>
    <col min="7172" max="7172" width="11.6328125" style="1148" customWidth="1"/>
    <col min="7173" max="7173" width="0" style="1148" hidden="1" customWidth="1"/>
    <col min="7174" max="7174" width="8" style="1148" customWidth="1"/>
    <col min="7175" max="7175" width="13.6328125" style="1148" customWidth="1"/>
    <col min="7176" max="7176" width="11.6328125" style="1148" customWidth="1"/>
    <col min="7177" max="7421" width="8" style="1148" customWidth="1"/>
    <col min="7422" max="7422" width="9.6328125" style="1148"/>
    <col min="7423" max="7423" width="9.6328125" style="1148" customWidth="1"/>
    <col min="7424" max="7424" width="47.36328125" style="1148" customWidth="1"/>
    <col min="7425" max="7425" width="5.453125" style="1148" customWidth="1"/>
    <col min="7426" max="7426" width="10.08984375" style="1148" bestFit="1" customWidth="1"/>
    <col min="7427" max="7427" width="10.08984375" style="1148" customWidth="1"/>
    <col min="7428" max="7428" width="11.6328125" style="1148" customWidth="1"/>
    <col min="7429" max="7429" width="0" style="1148" hidden="1" customWidth="1"/>
    <col min="7430" max="7430" width="8" style="1148" customWidth="1"/>
    <col min="7431" max="7431" width="13.6328125" style="1148" customWidth="1"/>
    <col min="7432" max="7432" width="11.6328125" style="1148" customWidth="1"/>
    <col min="7433" max="7677" width="8" style="1148" customWidth="1"/>
    <col min="7678" max="7678" width="9.6328125" style="1148"/>
    <col min="7679" max="7679" width="9.6328125" style="1148" customWidth="1"/>
    <col min="7680" max="7680" width="47.36328125" style="1148" customWidth="1"/>
    <col min="7681" max="7681" width="5.453125" style="1148" customWidth="1"/>
    <col min="7682" max="7682" width="10.08984375" style="1148" bestFit="1" customWidth="1"/>
    <col min="7683" max="7683" width="10.08984375" style="1148" customWidth="1"/>
    <col min="7684" max="7684" width="11.6328125" style="1148" customWidth="1"/>
    <col min="7685" max="7685" width="0" style="1148" hidden="1" customWidth="1"/>
    <col min="7686" max="7686" width="8" style="1148" customWidth="1"/>
    <col min="7687" max="7687" width="13.6328125" style="1148" customWidth="1"/>
    <col min="7688" max="7688" width="11.6328125" style="1148" customWidth="1"/>
    <col min="7689" max="7933" width="8" style="1148" customWidth="1"/>
    <col min="7934" max="7934" width="9.6328125" style="1148"/>
    <col min="7935" max="7935" width="9.6328125" style="1148" customWidth="1"/>
    <col min="7936" max="7936" width="47.36328125" style="1148" customWidth="1"/>
    <col min="7937" max="7937" width="5.453125" style="1148" customWidth="1"/>
    <col min="7938" max="7938" width="10.08984375" style="1148" bestFit="1" customWidth="1"/>
    <col min="7939" max="7939" width="10.08984375" style="1148" customWidth="1"/>
    <col min="7940" max="7940" width="11.6328125" style="1148" customWidth="1"/>
    <col min="7941" max="7941" width="0" style="1148" hidden="1" customWidth="1"/>
    <col min="7942" max="7942" width="8" style="1148" customWidth="1"/>
    <col min="7943" max="7943" width="13.6328125" style="1148" customWidth="1"/>
    <col min="7944" max="7944" width="11.6328125" style="1148" customWidth="1"/>
    <col min="7945" max="8189" width="8" style="1148" customWidth="1"/>
    <col min="8190" max="8190" width="9.6328125" style="1148"/>
    <col min="8191" max="8191" width="9.6328125" style="1148" customWidth="1"/>
    <col min="8192" max="8192" width="47.36328125" style="1148" customWidth="1"/>
    <col min="8193" max="8193" width="5.453125" style="1148" customWidth="1"/>
    <col min="8194" max="8194" width="10.08984375" style="1148" bestFit="1" customWidth="1"/>
    <col min="8195" max="8195" width="10.08984375" style="1148" customWidth="1"/>
    <col min="8196" max="8196" width="11.6328125" style="1148" customWidth="1"/>
    <col min="8197" max="8197" width="0" style="1148" hidden="1" customWidth="1"/>
    <col min="8198" max="8198" width="8" style="1148" customWidth="1"/>
    <col min="8199" max="8199" width="13.6328125" style="1148" customWidth="1"/>
    <col min="8200" max="8200" width="11.6328125" style="1148" customWidth="1"/>
    <col min="8201" max="8445" width="8" style="1148" customWidth="1"/>
    <col min="8446" max="8446" width="9.6328125" style="1148"/>
    <col min="8447" max="8447" width="9.6328125" style="1148" customWidth="1"/>
    <col min="8448" max="8448" width="47.36328125" style="1148" customWidth="1"/>
    <col min="8449" max="8449" width="5.453125" style="1148" customWidth="1"/>
    <col min="8450" max="8450" width="10.08984375" style="1148" bestFit="1" customWidth="1"/>
    <col min="8451" max="8451" width="10.08984375" style="1148" customWidth="1"/>
    <col min="8452" max="8452" width="11.6328125" style="1148" customWidth="1"/>
    <col min="8453" max="8453" width="0" style="1148" hidden="1" customWidth="1"/>
    <col min="8454" max="8454" width="8" style="1148" customWidth="1"/>
    <col min="8455" max="8455" width="13.6328125" style="1148" customWidth="1"/>
    <col min="8456" max="8456" width="11.6328125" style="1148" customWidth="1"/>
    <col min="8457" max="8701" width="8" style="1148" customWidth="1"/>
    <col min="8702" max="8702" width="9.6328125" style="1148"/>
    <col min="8703" max="8703" width="9.6328125" style="1148" customWidth="1"/>
    <col min="8704" max="8704" width="47.36328125" style="1148" customWidth="1"/>
    <col min="8705" max="8705" width="5.453125" style="1148" customWidth="1"/>
    <col min="8706" max="8706" width="10.08984375" style="1148" bestFit="1" customWidth="1"/>
    <col min="8707" max="8707" width="10.08984375" style="1148" customWidth="1"/>
    <col min="8708" max="8708" width="11.6328125" style="1148" customWidth="1"/>
    <col min="8709" max="8709" width="0" style="1148" hidden="1" customWidth="1"/>
    <col min="8710" max="8710" width="8" style="1148" customWidth="1"/>
    <col min="8711" max="8711" width="13.6328125" style="1148" customWidth="1"/>
    <col min="8712" max="8712" width="11.6328125" style="1148" customWidth="1"/>
    <col min="8713" max="8957" width="8" style="1148" customWidth="1"/>
    <col min="8958" max="8958" width="9.6328125" style="1148"/>
    <col min="8959" max="8959" width="9.6328125" style="1148" customWidth="1"/>
    <col min="8960" max="8960" width="47.36328125" style="1148" customWidth="1"/>
    <col min="8961" max="8961" width="5.453125" style="1148" customWidth="1"/>
    <col min="8962" max="8962" width="10.08984375" style="1148" bestFit="1" customWidth="1"/>
    <col min="8963" max="8963" width="10.08984375" style="1148" customWidth="1"/>
    <col min="8964" max="8964" width="11.6328125" style="1148" customWidth="1"/>
    <col min="8965" max="8965" width="0" style="1148" hidden="1" customWidth="1"/>
    <col min="8966" max="8966" width="8" style="1148" customWidth="1"/>
    <col min="8967" max="8967" width="13.6328125" style="1148" customWidth="1"/>
    <col min="8968" max="8968" width="11.6328125" style="1148" customWidth="1"/>
    <col min="8969" max="9213" width="8" style="1148" customWidth="1"/>
    <col min="9214" max="9214" width="9.6328125" style="1148"/>
    <col min="9215" max="9215" width="9.6328125" style="1148" customWidth="1"/>
    <col min="9216" max="9216" width="47.36328125" style="1148" customWidth="1"/>
    <col min="9217" max="9217" width="5.453125" style="1148" customWidth="1"/>
    <col min="9218" max="9218" width="10.08984375" style="1148" bestFit="1" customWidth="1"/>
    <col min="9219" max="9219" width="10.08984375" style="1148" customWidth="1"/>
    <col min="9220" max="9220" width="11.6328125" style="1148" customWidth="1"/>
    <col min="9221" max="9221" width="0" style="1148" hidden="1" customWidth="1"/>
    <col min="9222" max="9222" width="8" style="1148" customWidth="1"/>
    <col min="9223" max="9223" width="13.6328125" style="1148" customWidth="1"/>
    <col min="9224" max="9224" width="11.6328125" style="1148" customWidth="1"/>
    <col min="9225" max="9469" width="8" style="1148" customWidth="1"/>
    <col min="9470" max="9470" width="9.6328125" style="1148"/>
    <col min="9471" max="9471" width="9.6328125" style="1148" customWidth="1"/>
    <col min="9472" max="9472" width="47.36328125" style="1148" customWidth="1"/>
    <col min="9473" max="9473" width="5.453125" style="1148" customWidth="1"/>
    <col min="9474" max="9474" width="10.08984375" style="1148" bestFit="1" customWidth="1"/>
    <col min="9475" max="9475" width="10.08984375" style="1148" customWidth="1"/>
    <col min="9476" max="9476" width="11.6328125" style="1148" customWidth="1"/>
    <col min="9477" max="9477" width="0" style="1148" hidden="1" customWidth="1"/>
    <col min="9478" max="9478" width="8" style="1148" customWidth="1"/>
    <col min="9479" max="9479" width="13.6328125" style="1148" customWidth="1"/>
    <col min="9480" max="9480" width="11.6328125" style="1148" customWidth="1"/>
    <col min="9481" max="9725" width="8" style="1148" customWidth="1"/>
    <col min="9726" max="9726" width="9.6328125" style="1148"/>
    <col min="9727" max="9727" width="9.6328125" style="1148" customWidth="1"/>
    <col min="9728" max="9728" width="47.36328125" style="1148" customWidth="1"/>
    <col min="9729" max="9729" width="5.453125" style="1148" customWidth="1"/>
    <col min="9730" max="9730" width="10.08984375" style="1148" bestFit="1" customWidth="1"/>
    <col min="9731" max="9731" width="10.08984375" style="1148" customWidth="1"/>
    <col min="9732" max="9732" width="11.6328125" style="1148" customWidth="1"/>
    <col min="9733" max="9733" width="0" style="1148" hidden="1" customWidth="1"/>
    <col min="9734" max="9734" width="8" style="1148" customWidth="1"/>
    <col min="9735" max="9735" width="13.6328125" style="1148" customWidth="1"/>
    <col min="9736" max="9736" width="11.6328125" style="1148" customWidth="1"/>
    <col min="9737" max="9981" width="8" style="1148" customWidth="1"/>
    <col min="9982" max="9982" width="9.6328125" style="1148"/>
    <col min="9983" max="9983" width="9.6328125" style="1148" customWidth="1"/>
    <col min="9984" max="9984" width="47.36328125" style="1148" customWidth="1"/>
    <col min="9985" max="9985" width="5.453125" style="1148" customWidth="1"/>
    <col min="9986" max="9986" width="10.08984375" style="1148" bestFit="1" customWidth="1"/>
    <col min="9987" max="9987" width="10.08984375" style="1148" customWidth="1"/>
    <col min="9988" max="9988" width="11.6328125" style="1148" customWidth="1"/>
    <col min="9989" max="9989" width="0" style="1148" hidden="1" customWidth="1"/>
    <col min="9990" max="9990" width="8" style="1148" customWidth="1"/>
    <col min="9991" max="9991" width="13.6328125" style="1148" customWidth="1"/>
    <col min="9992" max="9992" width="11.6328125" style="1148" customWidth="1"/>
    <col min="9993" max="10237" width="8" style="1148" customWidth="1"/>
    <col min="10238" max="10238" width="9.6328125" style="1148"/>
    <col min="10239" max="10239" width="9.6328125" style="1148" customWidth="1"/>
    <col min="10240" max="10240" width="47.36328125" style="1148" customWidth="1"/>
    <col min="10241" max="10241" width="5.453125" style="1148" customWidth="1"/>
    <col min="10242" max="10242" width="10.08984375" style="1148" bestFit="1" customWidth="1"/>
    <col min="10243" max="10243" width="10.08984375" style="1148" customWidth="1"/>
    <col min="10244" max="10244" width="11.6328125" style="1148" customWidth="1"/>
    <col min="10245" max="10245" width="0" style="1148" hidden="1" customWidth="1"/>
    <col min="10246" max="10246" width="8" style="1148" customWidth="1"/>
    <col min="10247" max="10247" width="13.6328125" style="1148" customWidth="1"/>
    <col min="10248" max="10248" width="11.6328125" style="1148" customWidth="1"/>
    <col min="10249" max="10493" width="8" style="1148" customWidth="1"/>
    <col min="10494" max="10494" width="9.6328125" style="1148"/>
    <col min="10495" max="10495" width="9.6328125" style="1148" customWidth="1"/>
    <col min="10496" max="10496" width="47.36328125" style="1148" customWidth="1"/>
    <col min="10497" max="10497" width="5.453125" style="1148" customWidth="1"/>
    <col min="10498" max="10498" width="10.08984375" style="1148" bestFit="1" customWidth="1"/>
    <col min="10499" max="10499" width="10.08984375" style="1148" customWidth="1"/>
    <col min="10500" max="10500" width="11.6328125" style="1148" customWidth="1"/>
    <col min="10501" max="10501" width="0" style="1148" hidden="1" customWidth="1"/>
    <col min="10502" max="10502" width="8" style="1148" customWidth="1"/>
    <col min="10503" max="10503" width="13.6328125" style="1148" customWidth="1"/>
    <col min="10504" max="10504" width="11.6328125" style="1148" customWidth="1"/>
    <col min="10505" max="10749" width="8" style="1148" customWidth="1"/>
    <col min="10750" max="10750" width="9.6328125" style="1148"/>
    <col min="10751" max="10751" width="9.6328125" style="1148" customWidth="1"/>
    <col min="10752" max="10752" width="47.36328125" style="1148" customWidth="1"/>
    <col min="10753" max="10753" width="5.453125" style="1148" customWidth="1"/>
    <col min="10754" max="10754" width="10.08984375" style="1148" bestFit="1" customWidth="1"/>
    <col min="10755" max="10755" width="10.08984375" style="1148" customWidth="1"/>
    <col min="10756" max="10756" width="11.6328125" style="1148" customWidth="1"/>
    <col min="10757" max="10757" width="0" style="1148" hidden="1" customWidth="1"/>
    <col min="10758" max="10758" width="8" style="1148" customWidth="1"/>
    <col min="10759" max="10759" width="13.6328125" style="1148" customWidth="1"/>
    <col min="10760" max="10760" width="11.6328125" style="1148" customWidth="1"/>
    <col min="10761" max="11005" width="8" style="1148" customWidth="1"/>
    <col min="11006" max="11006" width="9.6328125" style="1148"/>
    <col min="11007" max="11007" width="9.6328125" style="1148" customWidth="1"/>
    <col min="11008" max="11008" width="47.36328125" style="1148" customWidth="1"/>
    <col min="11009" max="11009" width="5.453125" style="1148" customWidth="1"/>
    <col min="11010" max="11010" width="10.08984375" style="1148" bestFit="1" customWidth="1"/>
    <col min="11011" max="11011" width="10.08984375" style="1148" customWidth="1"/>
    <col min="11012" max="11012" width="11.6328125" style="1148" customWidth="1"/>
    <col min="11013" max="11013" width="0" style="1148" hidden="1" customWidth="1"/>
    <col min="11014" max="11014" width="8" style="1148" customWidth="1"/>
    <col min="11015" max="11015" width="13.6328125" style="1148" customWidth="1"/>
    <col min="11016" max="11016" width="11.6328125" style="1148" customWidth="1"/>
    <col min="11017" max="11261" width="8" style="1148" customWidth="1"/>
    <col min="11262" max="11262" width="9.6328125" style="1148"/>
    <col min="11263" max="11263" width="9.6328125" style="1148" customWidth="1"/>
    <col min="11264" max="11264" width="47.36328125" style="1148" customWidth="1"/>
    <col min="11265" max="11265" width="5.453125" style="1148" customWidth="1"/>
    <col min="11266" max="11266" width="10.08984375" style="1148" bestFit="1" customWidth="1"/>
    <col min="11267" max="11267" width="10.08984375" style="1148" customWidth="1"/>
    <col min="11268" max="11268" width="11.6328125" style="1148" customWidth="1"/>
    <col min="11269" max="11269" width="0" style="1148" hidden="1" customWidth="1"/>
    <col min="11270" max="11270" width="8" style="1148" customWidth="1"/>
    <col min="11271" max="11271" width="13.6328125" style="1148" customWidth="1"/>
    <col min="11272" max="11272" width="11.6328125" style="1148" customWidth="1"/>
    <col min="11273" max="11517" width="8" style="1148" customWidth="1"/>
    <col min="11518" max="11518" width="9.6328125" style="1148"/>
    <col min="11519" max="11519" width="9.6328125" style="1148" customWidth="1"/>
    <col min="11520" max="11520" width="47.36328125" style="1148" customWidth="1"/>
    <col min="11521" max="11521" width="5.453125" style="1148" customWidth="1"/>
    <col min="11522" max="11522" width="10.08984375" style="1148" bestFit="1" customWidth="1"/>
    <col min="11523" max="11523" width="10.08984375" style="1148" customWidth="1"/>
    <col min="11524" max="11524" width="11.6328125" style="1148" customWidth="1"/>
    <col min="11525" max="11525" width="0" style="1148" hidden="1" customWidth="1"/>
    <col min="11526" max="11526" width="8" style="1148" customWidth="1"/>
    <col min="11527" max="11527" width="13.6328125" style="1148" customWidth="1"/>
    <col min="11528" max="11528" width="11.6328125" style="1148" customWidth="1"/>
    <col min="11529" max="11773" width="8" style="1148" customWidth="1"/>
    <col min="11774" max="11774" width="9.6328125" style="1148"/>
    <col min="11775" max="11775" width="9.6328125" style="1148" customWidth="1"/>
    <col min="11776" max="11776" width="47.36328125" style="1148" customWidth="1"/>
    <col min="11777" max="11777" width="5.453125" style="1148" customWidth="1"/>
    <col min="11778" max="11778" width="10.08984375" style="1148" bestFit="1" customWidth="1"/>
    <col min="11779" max="11779" width="10.08984375" style="1148" customWidth="1"/>
    <col min="11780" max="11780" width="11.6328125" style="1148" customWidth="1"/>
    <col min="11781" max="11781" width="0" style="1148" hidden="1" customWidth="1"/>
    <col min="11782" max="11782" width="8" style="1148" customWidth="1"/>
    <col min="11783" max="11783" width="13.6328125" style="1148" customWidth="1"/>
    <col min="11784" max="11784" width="11.6328125" style="1148" customWidth="1"/>
    <col min="11785" max="12029" width="8" style="1148" customWidth="1"/>
    <col min="12030" max="12030" width="9.6328125" style="1148"/>
    <col min="12031" max="12031" width="9.6328125" style="1148" customWidth="1"/>
    <col min="12032" max="12032" width="47.36328125" style="1148" customWidth="1"/>
    <col min="12033" max="12033" width="5.453125" style="1148" customWidth="1"/>
    <col min="12034" max="12034" width="10.08984375" style="1148" bestFit="1" customWidth="1"/>
    <col min="12035" max="12035" width="10.08984375" style="1148" customWidth="1"/>
    <col min="12036" max="12036" width="11.6328125" style="1148" customWidth="1"/>
    <col min="12037" max="12037" width="0" style="1148" hidden="1" customWidth="1"/>
    <col min="12038" max="12038" width="8" style="1148" customWidth="1"/>
    <col min="12039" max="12039" width="13.6328125" style="1148" customWidth="1"/>
    <col min="12040" max="12040" width="11.6328125" style="1148" customWidth="1"/>
    <col min="12041" max="12285" width="8" style="1148" customWidth="1"/>
    <col min="12286" max="12286" width="9.6328125" style="1148"/>
    <col min="12287" max="12287" width="9.6328125" style="1148" customWidth="1"/>
    <col min="12288" max="12288" width="47.36328125" style="1148" customWidth="1"/>
    <col min="12289" max="12289" width="5.453125" style="1148" customWidth="1"/>
    <col min="12290" max="12290" width="10.08984375" style="1148" bestFit="1" customWidth="1"/>
    <col min="12291" max="12291" width="10.08984375" style="1148" customWidth="1"/>
    <col min="12292" max="12292" width="11.6328125" style="1148" customWidth="1"/>
    <col min="12293" max="12293" width="0" style="1148" hidden="1" customWidth="1"/>
    <col min="12294" max="12294" width="8" style="1148" customWidth="1"/>
    <col min="12295" max="12295" width="13.6328125" style="1148" customWidth="1"/>
    <col min="12296" max="12296" width="11.6328125" style="1148" customWidth="1"/>
    <col min="12297" max="12541" width="8" style="1148" customWidth="1"/>
    <col min="12542" max="12542" width="9.6328125" style="1148"/>
    <col min="12543" max="12543" width="9.6328125" style="1148" customWidth="1"/>
    <col min="12544" max="12544" width="47.36328125" style="1148" customWidth="1"/>
    <col min="12545" max="12545" width="5.453125" style="1148" customWidth="1"/>
    <col min="12546" max="12546" width="10.08984375" style="1148" bestFit="1" customWidth="1"/>
    <col min="12547" max="12547" width="10.08984375" style="1148" customWidth="1"/>
    <col min="12548" max="12548" width="11.6328125" style="1148" customWidth="1"/>
    <col min="12549" max="12549" width="0" style="1148" hidden="1" customWidth="1"/>
    <col min="12550" max="12550" width="8" style="1148" customWidth="1"/>
    <col min="12551" max="12551" width="13.6328125" style="1148" customWidth="1"/>
    <col min="12552" max="12552" width="11.6328125" style="1148" customWidth="1"/>
    <col min="12553" max="12797" width="8" style="1148" customWidth="1"/>
    <col min="12798" max="12798" width="9.6328125" style="1148"/>
    <col min="12799" max="12799" width="9.6328125" style="1148" customWidth="1"/>
    <col min="12800" max="12800" width="47.36328125" style="1148" customWidth="1"/>
    <col min="12801" max="12801" width="5.453125" style="1148" customWidth="1"/>
    <col min="12802" max="12802" width="10.08984375" style="1148" bestFit="1" customWidth="1"/>
    <col min="12803" max="12803" width="10.08984375" style="1148" customWidth="1"/>
    <col min="12804" max="12804" width="11.6328125" style="1148" customWidth="1"/>
    <col min="12805" max="12805" width="0" style="1148" hidden="1" customWidth="1"/>
    <col min="12806" max="12806" width="8" style="1148" customWidth="1"/>
    <col min="12807" max="12807" width="13.6328125" style="1148" customWidth="1"/>
    <col min="12808" max="12808" width="11.6328125" style="1148" customWidth="1"/>
    <col min="12809" max="13053" width="8" style="1148" customWidth="1"/>
    <col min="13054" max="13054" width="9.6328125" style="1148"/>
    <col min="13055" max="13055" width="9.6328125" style="1148" customWidth="1"/>
    <col min="13056" max="13056" width="47.36328125" style="1148" customWidth="1"/>
    <col min="13057" max="13057" width="5.453125" style="1148" customWidth="1"/>
    <col min="13058" max="13058" width="10.08984375" style="1148" bestFit="1" customWidth="1"/>
    <col min="13059" max="13059" width="10.08984375" style="1148" customWidth="1"/>
    <col min="13060" max="13060" width="11.6328125" style="1148" customWidth="1"/>
    <col min="13061" max="13061" width="0" style="1148" hidden="1" customWidth="1"/>
    <col min="13062" max="13062" width="8" style="1148" customWidth="1"/>
    <col min="13063" max="13063" width="13.6328125" style="1148" customWidth="1"/>
    <col min="13064" max="13064" width="11.6328125" style="1148" customWidth="1"/>
    <col min="13065" max="13309" width="8" style="1148" customWidth="1"/>
    <col min="13310" max="13310" width="9.6328125" style="1148"/>
    <col min="13311" max="13311" width="9.6328125" style="1148" customWidth="1"/>
    <col min="13312" max="13312" width="47.36328125" style="1148" customWidth="1"/>
    <col min="13313" max="13313" width="5.453125" style="1148" customWidth="1"/>
    <col min="13314" max="13314" width="10.08984375" style="1148" bestFit="1" customWidth="1"/>
    <col min="13315" max="13315" width="10.08984375" style="1148" customWidth="1"/>
    <col min="13316" max="13316" width="11.6328125" style="1148" customWidth="1"/>
    <col min="13317" max="13317" width="0" style="1148" hidden="1" customWidth="1"/>
    <col min="13318" max="13318" width="8" style="1148" customWidth="1"/>
    <col min="13319" max="13319" width="13.6328125" style="1148" customWidth="1"/>
    <col min="13320" max="13320" width="11.6328125" style="1148" customWidth="1"/>
    <col min="13321" max="13565" width="8" style="1148" customWidth="1"/>
    <col min="13566" max="13566" width="9.6328125" style="1148"/>
    <col min="13567" max="13567" width="9.6328125" style="1148" customWidth="1"/>
    <col min="13568" max="13568" width="47.36328125" style="1148" customWidth="1"/>
    <col min="13569" max="13569" width="5.453125" style="1148" customWidth="1"/>
    <col min="13570" max="13570" width="10.08984375" style="1148" bestFit="1" customWidth="1"/>
    <col min="13571" max="13571" width="10.08984375" style="1148" customWidth="1"/>
    <col min="13572" max="13572" width="11.6328125" style="1148" customWidth="1"/>
    <col min="13573" max="13573" width="0" style="1148" hidden="1" customWidth="1"/>
    <col min="13574" max="13574" width="8" style="1148" customWidth="1"/>
    <col min="13575" max="13575" width="13.6328125" style="1148" customWidth="1"/>
    <col min="13576" max="13576" width="11.6328125" style="1148" customWidth="1"/>
    <col min="13577" max="13821" width="8" style="1148" customWidth="1"/>
    <col min="13822" max="13822" width="9.6328125" style="1148"/>
    <col min="13823" max="13823" width="9.6328125" style="1148" customWidth="1"/>
    <col min="13824" max="13824" width="47.36328125" style="1148" customWidth="1"/>
    <col min="13825" max="13825" width="5.453125" style="1148" customWidth="1"/>
    <col min="13826" max="13826" width="10.08984375" style="1148" bestFit="1" customWidth="1"/>
    <col min="13827" max="13827" width="10.08984375" style="1148" customWidth="1"/>
    <col min="13828" max="13828" width="11.6328125" style="1148" customWidth="1"/>
    <col min="13829" max="13829" width="0" style="1148" hidden="1" customWidth="1"/>
    <col min="13830" max="13830" width="8" style="1148" customWidth="1"/>
    <col min="13831" max="13831" width="13.6328125" style="1148" customWidth="1"/>
    <col min="13832" max="13832" width="11.6328125" style="1148" customWidth="1"/>
    <col min="13833" max="14077" width="8" style="1148" customWidth="1"/>
    <col min="14078" max="14078" width="9.6328125" style="1148"/>
    <col min="14079" max="14079" width="9.6328125" style="1148" customWidth="1"/>
    <col min="14080" max="14080" width="47.36328125" style="1148" customWidth="1"/>
    <col min="14081" max="14081" width="5.453125" style="1148" customWidth="1"/>
    <col min="14082" max="14082" width="10.08984375" style="1148" bestFit="1" customWidth="1"/>
    <col min="14083" max="14083" width="10.08984375" style="1148" customWidth="1"/>
    <col min="14084" max="14084" width="11.6328125" style="1148" customWidth="1"/>
    <col min="14085" max="14085" width="0" style="1148" hidden="1" customWidth="1"/>
    <col min="14086" max="14086" width="8" style="1148" customWidth="1"/>
    <col min="14087" max="14087" width="13.6328125" style="1148" customWidth="1"/>
    <col min="14088" max="14088" width="11.6328125" style="1148" customWidth="1"/>
    <col min="14089" max="14333" width="8" style="1148" customWidth="1"/>
    <col min="14334" max="14334" width="9.6328125" style="1148"/>
    <col min="14335" max="14335" width="9.6328125" style="1148" customWidth="1"/>
    <col min="14336" max="14336" width="47.36328125" style="1148" customWidth="1"/>
    <col min="14337" max="14337" width="5.453125" style="1148" customWidth="1"/>
    <col min="14338" max="14338" width="10.08984375" style="1148" bestFit="1" customWidth="1"/>
    <col min="14339" max="14339" width="10.08984375" style="1148" customWidth="1"/>
    <col min="14340" max="14340" width="11.6328125" style="1148" customWidth="1"/>
    <col min="14341" max="14341" width="0" style="1148" hidden="1" customWidth="1"/>
    <col min="14342" max="14342" width="8" style="1148" customWidth="1"/>
    <col min="14343" max="14343" width="13.6328125" style="1148" customWidth="1"/>
    <col min="14344" max="14344" width="11.6328125" style="1148" customWidth="1"/>
    <col min="14345" max="14589" width="8" style="1148" customWidth="1"/>
    <col min="14590" max="14590" width="9.6328125" style="1148"/>
    <col min="14591" max="14591" width="9.6328125" style="1148" customWidth="1"/>
    <col min="14592" max="14592" width="47.36328125" style="1148" customWidth="1"/>
    <col min="14593" max="14593" width="5.453125" style="1148" customWidth="1"/>
    <col min="14594" max="14594" width="10.08984375" style="1148" bestFit="1" customWidth="1"/>
    <col min="14595" max="14595" width="10.08984375" style="1148" customWidth="1"/>
    <col min="14596" max="14596" width="11.6328125" style="1148" customWidth="1"/>
    <col min="14597" max="14597" width="0" style="1148" hidden="1" customWidth="1"/>
    <col min="14598" max="14598" width="8" style="1148" customWidth="1"/>
    <col min="14599" max="14599" width="13.6328125" style="1148" customWidth="1"/>
    <col min="14600" max="14600" width="11.6328125" style="1148" customWidth="1"/>
    <col min="14601" max="14845" width="8" style="1148" customWidth="1"/>
    <col min="14846" max="14846" width="9.6328125" style="1148"/>
    <col min="14847" max="14847" width="9.6328125" style="1148" customWidth="1"/>
    <col min="14848" max="14848" width="47.36328125" style="1148" customWidth="1"/>
    <col min="14849" max="14849" width="5.453125" style="1148" customWidth="1"/>
    <col min="14850" max="14850" width="10.08984375" style="1148" bestFit="1" customWidth="1"/>
    <col min="14851" max="14851" width="10.08984375" style="1148" customWidth="1"/>
    <col min="14852" max="14852" width="11.6328125" style="1148" customWidth="1"/>
    <col min="14853" max="14853" width="0" style="1148" hidden="1" customWidth="1"/>
    <col min="14854" max="14854" width="8" style="1148" customWidth="1"/>
    <col min="14855" max="14855" width="13.6328125" style="1148" customWidth="1"/>
    <col min="14856" max="14856" width="11.6328125" style="1148" customWidth="1"/>
    <col min="14857" max="15101" width="8" style="1148" customWidth="1"/>
    <col min="15102" max="15102" width="9.6328125" style="1148"/>
    <col min="15103" max="15103" width="9.6328125" style="1148" customWidth="1"/>
    <col min="15104" max="15104" width="47.36328125" style="1148" customWidth="1"/>
    <col min="15105" max="15105" width="5.453125" style="1148" customWidth="1"/>
    <col min="15106" max="15106" width="10.08984375" style="1148" bestFit="1" customWidth="1"/>
    <col min="15107" max="15107" width="10.08984375" style="1148" customWidth="1"/>
    <col min="15108" max="15108" width="11.6328125" style="1148" customWidth="1"/>
    <col min="15109" max="15109" width="0" style="1148" hidden="1" customWidth="1"/>
    <col min="15110" max="15110" width="8" style="1148" customWidth="1"/>
    <col min="15111" max="15111" width="13.6328125" style="1148" customWidth="1"/>
    <col min="15112" max="15112" width="11.6328125" style="1148" customWidth="1"/>
    <col min="15113" max="15357" width="8" style="1148" customWidth="1"/>
    <col min="15358" max="15358" width="9.6328125" style="1148"/>
    <col min="15359" max="15359" width="9.6328125" style="1148" customWidth="1"/>
    <col min="15360" max="15360" width="47.36328125" style="1148" customWidth="1"/>
    <col min="15361" max="15361" width="5.453125" style="1148" customWidth="1"/>
    <col min="15362" max="15362" width="10.08984375" style="1148" bestFit="1" customWidth="1"/>
    <col min="15363" max="15363" width="10.08984375" style="1148" customWidth="1"/>
    <col min="15364" max="15364" width="11.6328125" style="1148" customWidth="1"/>
    <col min="15365" max="15365" width="0" style="1148" hidden="1" customWidth="1"/>
    <col min="15366" max="15366" width="8" style="1148" customWidth="1"/>
    <col min="15367" max="15367" width="13.6328125" style="1148" customWidth="1"/>
    <col min="15368" max="15368" width="11.6328125" style="1148" customWidth="1"/>
    <col min="15369" max="15613" width="8" style="1148" customWidth="1"/>
    <col min="15614" max="15614" width="9.6328125" style="1148"/>
    <col min="15615" max="15615" width="9.6328125" style="1148" customWidth="1"/>
    <col min="15616" max="15616" width="47.36328125" style="1148" customWidth="1"/>
    <col min="15617" max="15617" width="5.453125" style="1148" customWidth="1"/>
    <col min="15618" max="15618" width="10.08984375" style="1148" bestFit="1" customWidth="1"/>
    <col min="15619" max="15619" width="10.08984375" style="1148" customWidth="1"/>
    <col min="15620" max="15620" width="11.6328125" style="1148" customWidth="1"/>
    <col min="15621" max="15621" width="0" style="1148" hidden="1" customWidth="1"/>
    <col min="15622" max="15622" width="8" style="1148" customWidth="1"/>
    <col min="15623" max="15623" width="13.6328125" style="1148" customWidth="1"/>
    <col min="15624" max="15624" width="11.6328125" style="1148" customWidth="1"/>
    <col min="15625" max="15869" width="8" style="1148" customWidth="1"/>
    <col min="15870" max="15870" width="9.6328125" style="1148"/>
    <col min="15871" max="15871" width="9.6328125" style="1148" customWidth="1"/>
    <col min="15872" max="15872" width="47.36328125" style="1148" customWidth="1"/>
    <col min="15873" max="15873" width="5.453125" style="1148" customWidth="1"/>
    <col min="15874" max="15874" width="10.08984375" style="1148" bestFit="1" customWidth="1"/>
    <col min="15875" max="15875" width="10.08984375" style="1148" customWidth="1"/>
    <col min="15876" max="15876" width="11.6328125" style="1148" customWidth="1"/>
    <col min="15877" max="15877" width="0" style="1148" hidden="1" customWidth="1"/>
    <col min="15878" max="15878" width="8" style="1148" customWidth="1"/>
    <col min="15879" max="15879" width="13.6328125" style="1148" customWidth="1"/>
    <col min="15880" max="15880" width="11.6328125" style="1148" customWidth="1"/>
    <col min="15881" max="16125" width="8" style="1148" customWidth="1"/>
    <col min="16126" max="16126" width="9.6328125" style="1148"/>
    <col min="16127" max="16127" width="9.6328125" style="1148" customWidth="1"/>
    <col min="16128" max="16128" width="47.36328125" style="1148" customWidth="1"/>
    <col min="16129" max="16129" width="5.453125" style="1148" customWidth="1"/>
    <col min="16130" max="16130" width="10.08984375" style="1148" bestFit="1" customWidth="1"/>
    <col min="16131" max="16131" width="10.08984375" style="1148" customWidth="1"/>
    <col min="16132" max="16132" width="11.6328125" style="1148" customWidth="1"/>
    <col min="16133" max="16133" width="0" style="1148" hidden="1" customWidth="1"/>
    <col min="16134" max="16134" width="8" style="1148" customWidth="1"/>
    <col min="16135" max="16135" width="13.6328125" style="1148" customWidth="1"/>
    <col min="16136" max="16136" width="11.6328125" style="1148" customWidth="1"/>
    <col min="16137" max="16384" width="8" style="1148" customWidth="1"/>
  </cols>
  <sheetData>
    <row r="1" spans="1:7" s="1141" customFormat="1" ht="12.75" customHeight="1">
      <c r="A1" s="1336"/>
      <c r="B1" s="1566"/>
      <c r="C1" s="1566"/>
      <c r="D1" s="1566"/>
      <c r="E1" s="1566"/>
      <c r="F1" s="1337"/>
    </row>
    <row r="2" spans="1:7" s="1141" customFormat="1" ht="12.75" customHeight="1">
      <c r="A2" s="1567" t="s">
        <v>1764</v>
      </c>
      <c r="B2" s="1568"/>
      <c r="C2" s="1568"/>
      <c r="D2" s="1568"/>
      <c r="E2" s="1568"/>
      <c r="F2" s="1569"/>
    </row>
    <row r="3" spans="1:7" s="1339" customFormat="1" ht="12.75" customHeight="1" thickBot="1">
      <c r="A3" s="1570"/>
      <c r="B3" s="1571"/>
      <c r="C3" s="1571"/>
      <c r="D3" s="1571"/>
      <c r="E3" s="1571"/>
      <c r="F3" s="1572"/>
      <c r="G3" s="1338"/>
    </row>
    <row r="4" spans="1:7" s="1339" customFormat="1" ht="32" thickTop="1" thickBot="1">
      <c r="A4" s="1340" t="s">
        <v>21</v>
      </c>
      <c r="B4" s="1341" t="s">
        <v>5</v>
      </c>
      <c r="C4" s="1341" t="s">
        <v>6</v>
      </c>
      <c r="D4" s="1254" t="s">
        <v>1</v>
      </c>
      <c r="E4" s="1254" t="s">
        <v>7</v>
      </c>
      <c r="F4" s="1342" t="s">
        <v>8</v>
      </c>
      <c r="G4" s="1142"/>
    </row>
    <row r="5" spans="1:7" s="1143" customFormat="1" ht="12.75" customHeight="1" thickTop="1">
      <c r="A5" s="1343"/>
      <c r="B5" s="1255"/>
      <c r="C5" s="1256"/>
      <c r="D5" s="1257"/>
      <c r="E5" s="1257"/>
      <c r="F5" s="1344"/>
    </row>
    <row r="6" spans="1:7" s="1143" customFormat="1" ht="12.75" customHeight="1">
      <c r="A6" s="1345"/>
      <c r="B6" s="1258" t="s">
        <v>1296</v>
      </c>
      <c r="C6" s="1259"/>
      <c r="D6" s="1260"/>
      <c r="E6" s="1260"/>
      <c r="F6" s="1346"/>
    </row>
    <row r="7" spans="1:7" s="1143" customFormat="1" ht="46.5">
      <c r="A7" s="1347" t="s">
        <v>242</v>
      </c>
      <c r="B7" s="1348" t="s">
        <v>1343</v>
      </c>
      <c r="C7" s="1349" t="s">
        <v>0</v>
      </c>
      <c r="D7" s="1350" t="s">
        <v>1259</v>
      </c>
      <c r="E7" s="1350"/>
      <c r="F7" s="1351"/>
    </row>
    <row r="8" spans="1:7" s="1143" customFormat="1" ht="12.75" customHeight="1">
      <c r="A8" s="1345"/>
      <c r="B8" s="1261"/>
      <c r="C8" s="1259"/>
      <c r="D8" s="1260"/>
      <c r="E8" s="1260"/>
      <c r="F8" s="1346"/>
    </row>
    <row r="9" spans="1:7" s="1143" customFormat="1" ht="46.5">
      <c r="A9" s="1352"/>
      <c r="B9" s="1262" t="s">
        <v>1400</v>
      </c>
      <c r="C9" s="1349"/>
      <c r="D9" s="1350"/>
      <c r="E9" s="1350"/>
      <c r="F9" s="1351"/>
    </row>
    <row r="10" spans="1:7" s="1356" customFormat="1" ht="15.5">
      <c r="A10" s="1353">
        <v>1.2</v>
      </c>
      <c r="B10" s="764" t="s">
        <v>925</v>
      </c>
      <c r="C10" s="1263"/>
      <c r="D10" s="1264"/>
      <c r="E10" s="1354"/>
      <c r="F10" s="1355"/>
    </row>
    <row r="11" spans="1:7" s="1356" customFormat="1" ht="8.15" customHeight="1">
      <c r="A11" s="1357"/>
      <c r="B11" s="762"/>
      <c r="C11" s="772"/>
      <c r="D11" s="815"/>
      <c r="E11" s="1354"/>
      <c r="F11" s="1355"/>
    </row>
    <row r="12" spans="1:7" s="1356" customFormat="1" ht="15.5">
      <c r="A12" s="1353"/>
      <c r="B12" s="812" t="s">
        <v>1281</v>
      </c>
      <c r="C12" s="1263"/>
      <c r="D12" s="1264"/>
      <c r="E12" s="1354"/>
      <c r="F12" s="1355"/>
    </row>
    <row r="13" spans="1:7" s="1356" customFormat="1" ht="8.15" customHeight="1">
      <c r="A13" s="1353"/>
      <c r="B13" s="764"/>
      <c r="C13" s="1263"/>
      <c r="D13" s="1264"/>
      <c r="E13" s="1354"/>
      <c r="F13" s="1355"/>
    </row>
    <row r="14" spans="1:7" s="1356" customFormat="1" ht="12.9" customHeight="1">
      <c r="A14" s="1357" t="s">
        <v>89</v>
      </c>
      <c r="B14" s="762" t="s">
        <v>1282</v>
      </c>
      <c r="C14" s="772" t="s">
        <v>9</v>
      </c>
      <c r="D14" s="815">
        <v>25</v>
      </c>
      <c r="E14" s="1354"/>
      <c r="F14" s="1355">
        <f>D14*E14</f>
        <v>0</v>
      </c>
    </row>
    <row r="15" spans="1:7" s="1356" customFormat="1" ht="8.15" customHeight="1">
      <c r="A15" s="1353"/>
      <c r="B15" s="764"/>
      <c r="C15" s="1263"/>
      <c r="D15" s="1264"/>
      <c r="E15" s="1354"/>
      <c r="F15" s="1355"/>
    </row>
    <row r="16" spans="1:7" s="1356" customFormat="1" ht="31">
      <c r="A16" s="1357"/>
      <c r="B16" s="812" t="s">
        <v>1283</v>
      </c>
      <c r="C16" s="772"/>
      <c r="D16" s="815"/>
      <c r="E16" s="1354"/>
      <c r="F16" s="1355"/>
    </row>
    <row r="17" spans="1:6" s="1356" customFormat="1" ht="8.15" customHeight="1">
      <c r="A17" s="1357"/>
      <c r="B17" s="762"/>
      <c r="C17" s="772"/>
      <c r="D17" s="815"/>
      <c r="E17" s="1354"/>
      <c r="F17" s="1355"/>
    </row>
    <row r="18" spans="1:6" s="1356" customFormat="1" ht="15.5">
      <c r="A18" s="1357" t="s">
        <v>90</v>
      </c>
      <c r="B18" s="762" t="s">
        <v>1284</v>
      </c>
      <c r="C18" s="772" t="s">
        <v>43</v>
      </c>
      <c r="D18" s="815">
        <v>3</v>
      </c>
      <c r="E18" s="1354"/>
      <c r="F18" s="1355">
        <f>D18*E18</f>
        <v>0</v>
      </c>
    </row>
    <row r="19" spans="1:6" s="1356" customFormat="1" ht="8.15" customHeight="1">
      <c r="A19" s="1357"/>
      <c r="B19" s="762"/>
      <c r="C19" s="772"/>
      <c r="D19" s="815"/>
      <c r="E19" s="1354"/>
      <c r="F19" s="1355"/>
    </row>
    <row r="20" spans="1:6" s="1356" customFormat="1" ht="15.5">
      <c r="A20" s="1358">
        <v>1.3</v>
      </c>
      <c r="B20" s="764" t="s">
        <v>924</v>
      </c>
      <c r="C20" s="772"/>
      <c r="D20" s="813"/>
      <c r="E20" s="1354"/>
      <c r="F20" s="1355"/>
    </row>
    <row r="21" spans="1:6" s="1356" customFormat="1" ht="15.5">
      <c r="A21" s="1358"/>
      <c r="B21" s="764"/>
      <c r="C21" s="772"/>
      <c r="D21" s="813"/>
      <c r="E21" s="1354"/>
      <c r="F21" s="1355"/>
    </row>
    <row r="22" spans="1:6" s="1356" customFormat="1" ht="15.5">
      <c r="A22" s="1358" t="s">
        <v>101</v>
      </c>
      <c r="B22" s="764" t="s">
        <v>1292</v>
      </c>
      <c r="C22" s="746"/>
      <c r="D22" s="741"/>
      <c r="E22" s="1354"/>
      <c r="F22" s="1355"/>
    </row>
    <row r="23" spans="1:6" s="1356" customFormat="1" ht="15.5">
      <c r="A23" s="1358"/>
      <c r="B23" s="764"/>
      <c r="C23" s="746"/>
      <c r="D23" s="741"/>
      <c r="E23" s="1354"/>
      <c r="F23" s="1355"/>
    </row>
    <row r="24" spans="1:6" s="1356" customFormat="1" ht="15.5">
      <c r="A24" s="1359" t="s">
        <v>1308</v>
      </c>
      <c r="B24" s="757" t="s">
        <v>1293</v>
      </c>
      <c r="C24" s="746" t="s">
        <v>10</v>
      </c>
      <c r="D24" s="741">
        <v>10</v>
      </c>
      <c r="E24" s="1354"/>
      <c r="F24" s="1355">
        <f>D24*E24</f>
        <v>0</v>
      </c>
    </row>
    <row r="25" spans="1:6" s="1356" customFormat="1" ht="15.5">
      <c r="A25" s="1359"/>
      <c r="B25" s="757"/>
      <c r="C25" s="746"/>
      <c r="D25" s="741"/>
      <c r="E25" s="1354"/>
      <c r="F25" s="1355"/>
    </row>
    <row r="26" spans="1:6" s="1356" customFormat="1" ht="15.5">
      <c r="A26" s="1353">
        <v>1.4</v>
      </c>
      <c r="B26" s="764" t="s">
        <v>1290</v>
      </c>
      <c r="C26" s="772"/>
      <c r="D26" s="815"/>
      <c r="E26" s="1354"/>
      <c r="F26" s="1355"/>
    </row>
    <row r="27" spans="1:6" s="1356" customFormat="1" ht="8.15" customHeight="1">
      <c r="A27" s="1357"/>
      <c r="B27" s="762"/>
      <c r="C27" s="772"/>
      <c r="D27" s="815"/>
      <c r="E27" s="1354"/>
      <c r="F27" s="1355"/>
    </row>
    <row r="28" spans="1:6" s="1356" customFormat="1" ht="15.5">
      <c r="A28" s="1357"/>
      <c r="B28" s="812" t="s">
        <v>1291</v>
      </c>
      <c r="C28" s="772"/>
      <c r="D28" s="815"/>
      <c r="E28" s="1354"/>
      <c r="F28" s="1355"/>
    </row>
    <row r="29" spans="1:6" s="1356" customFormat="1" ht="8.15" customHeight="1">
      <c r="A29" s="1357"/>
      <c r="B29" s="812"/>
      <c r="C29" s="772"/>
      <c r="D29" s="815"/>
      <c r="E29" s="1354"/>
      <c r="F29" s="1355"/>
    </row>
    <row r="30" spans="1:6" s="1356" customFormat="1" ht="15.5">
      <c r="A30" s="1357" t="s">
        <v>127</v>
      </c>
      <c r="B30" s="762" t="s">
        <v>1294</v>
      </c>
      <c r="C30" s="772" t="s">
        <v>1338</v>
      </c>
      <c r="D30" s="815">
        <v>1</v>
      </c>
      <c r="E30" s="1354"/>
      <c r="F30" s="1355">
        <f>D30*E30</f>
        <v>0</v>
      </c>
    </row>
    <row r="31" spans="1:6" s="1356" customFormat="1" ht="15.5">
      <c r="A31" s="1357"/>
      <c r="B31" s="762"/>
      <c r="C31" s="772"/>
      <c r="D31" s="815"/>
      <c r="E31" s="1354"/>
      <c r="F31" s="1355"/>
    </row>
    <row r="32" spans="1:6" s="1356" customFormat="1" ht="15.5">
      <c r="A32" s="1357" t="s">
        <v>129</v>
      </c>
      <c r="B32" s="762" t="s">
        <v>1375</v>
      </c>
      <c r="C32" s="772" t="s">
        <v>10</v>
      </c>
      <c r="D32" s="815">
        <v>1</v>
      </c>
      <c r="E32" s="1354"/>
      <c r="F32" s="1355">
        <f>D32*E32</f>
        <v>0</v>
      </c>
    </row>
    <row r="33" spans="1:6" s="1356" customFormat="1" ht="8.15" customHeight="1">
      <c r="A33" s="1357"/>
      <c r="B33" s="762"/>
      <c r="C33" s="772"/>
      <c r="D33" s="815"/>
      <c r="E33" s="1354"/>
      <c r="F33" s="1355"/>
    </row>
    <row r="34" spans="1:6" s="1362" customFormat="1" ht="15.5">
      <c r="A34" s="1353">
        <v>1.5</v>
      </c>
      <c r="B34" s="734" t="s">
        <v>926</v>
      </c>
      <c r="C34" s="746"/>
      <c r="D34" s="736"/>
      <c r="E34" s="1360"/>
      <c r="F34" s="1361"/>
    </row>
    <row r="35" spans="1:6" s="1356" customFormat="1" ht="8.15" customHeight="1">
      <c r="A35" s="1357"/>
      <c r="B35" s="762"/>
      <c r="C35" s="772"/>
      <c r="D35" s="815"/>
      <c r="E35" s="1354"/>
      <c r="F35" s="1355"/>
    </row>
    <row r="36" spans="1:6" s="1362" customFormat="1" ht="15.5">
      <c r="A36" s="1353" t="s">
        <v>131</v>
      </c>
      <c r="B36" s="734" t="s">
        <v>1280</v>
      </c>
      <c r="C36" s="746"/>
      <c r="D36" s="736"/>
      <c r="E36" s="1360"/>
      <c r="F36" s="1361"/>
    </row>
    <row r="37" spans="1:6" s="1356" customFormat="1" ht="8.15" customHeight="1">
      <c r="A37" s="1357"/>
      <c r="B37" s="762"/>
      <c r="C37" s="772"/>
      <c r="D37" s="815"/>
      <c r="E37" s="1354"/>
      <c r="F37" s="1355"/>
    </row>
    <row r="38" spans="1:6" s="1362" customFormat="1" ht="15.5">
      <c r="A38" s="1357" t="s">
        <v>245</v>
      </c>
      <c r="B38" s="748" t="s">
        <v>1285</v>
      </c>
      <c r="C38" s="746" t="s">
        <v>10</v>
      </c>
      <c r="D38" s="741">
        <v>3</v>
      </c>
      <c r="E38" s="1360"/>
      <c r="F38" s="1361">
        <f>D38*E38</f>
        <v>0</v>
      </c>
    </row>
    <row r="39" spans="1:6" s="1356" customFormat="1" ht="8.15" customHeight="1">
      <c r="A39" s="1357"/>
      <c r="B39" s="762"/>
      <c r="C39" s="772"/>
      <c r="D39" s="815"/>
      <c r="E39" s="1354"/>
      <c r="F39" s="1355"/>
    </row>
    <row r="40" spans="1:6" s="1362" customFormat="1" ht="15.5">
      <c r="A40" s="1353">
        <v>1.6</v>
      </c>
      <c r="B40" s="734" t="s">
        <v>1286</v>
      </c>
      <c r="C40" s="746"/>
      <c r="D40" s="736"/>
      <c r="E40" s="1360"/>
      <c r="F40" s="1361"/>
    </row>
    <row r="41" spans="1:6" s="1143" customFormat="1" ht="31">
      <c r="A41" s="1347" t="s">
        <v>1148</v>
      </c>
      <c r="B41" s="1348" t="s">
        <v>1288</v>
      </c>
      <c r="C41" s="1349" t="s">
        <v>10</v>
      </c>
      <c r="D41" s="1363">
        <v>3</v>
      </c>
      <c r="E41" s="1350"/>
      <c r="F41" s="1351">
        <f>D41*E41</f>
        <v>0</v>
      </c>
    </row>
    <row r="42" spans="1:6" s="1143" customFormat="1" ht="12.75" customHeight="1">
      <c r="A42" s="1345"/>
      <c r="B42" s="1261"/>
      <c r="C42" s="1259"/>
      <c r="D42" s="1260"/>
      <c r="E42" s="1260"/>
      <c r="F42" s="1346"/>
    </row>
    <row r="43" spans="1:6" s="1143" customFormat="1" ht="31">
      <c r="A43" s="1347" t="s">
        <v>1309</v>
      </c>
      <c r="B43" s="1348" t="s">
        <v>1289</v>
      </c>
      <c r="C43" s="1349" t="s">
        <v>10</v>
      </c>
      <c r="D43" s="1363">
        <v>6</v>
      </c>
      <c r="E43" s="1350"/>
      <c r="F43" s="1351">
        <f>D43*E43</f>
        <v>0</v>
      </c>
    </row>
    <row r="44" spans="1:6" s="1143" customFormat="1" ht="12.75" customHeight="1">
      <c r="A44" s="1345"/>
      <c r="B44" s="1261"/>
      <c r="C44" s="1259"/>
      <c r="D44" s="1260"/>
      <c r="E44" s="1260"/>
      <c r="F44" s="1346"/>
    </row>
    <row r="45" spans="1:6" s="1143" customFormat="1" ht="31">
      <c r="A45" s="1347" t="s">
        <v>1310</v>
      </c>
      <c r="B45" s="1348" t="s">
        <v>1295</v>
      </c>
      <c r="C45" s="1349" t="s">
        <v>10</v>
      </c>
      <c r="D45" s="1363">
        <v>3</v>
      </c>
      <c r="E45" s="1350"/>
      <c r="F45" s="1351">
        <f>D45*E45</f>
        <v>0</v>
      </c>
    </row>
    <row r="46" spans="1:6" s="1144" customFormat="1" ht="15.5">
      <c r="A46" s="1364"/>
      <c r="B46" s="1265"/>
      <c r="C46" s="1266"/>
      <c r="D46" s="1267"/>
      <c r="E46" s="1266"/>
      <c r="F46" s="1365"/>
    </row>
    <row r="47" spans="1:6" s="1144" customFormat="1" ht="79.5">
      <c r="A47" s="1366">
        <v>1.9</v>
      </c>
      <c r="B47" s="1367" t="s">
        <v>1784</v>
      </c>
      <c r="C47" s="1368" t="s">
        <v>10</v>
      </c>
      <c r="D47" s="1369">
        <v>3</v>
      </c>
      <c r="E47" s="1368"/>
      <c r="F47" s="1370"/>
    </row>
    <row r="48" spans="1:6" s="1144" customFormat="1" ht="9" customHeight="1">
      <c r="A48" s="1364"/>
      <c r="B48" s="1265"/>
      <c r="C48" s="1266"/>
      <c r="D48" s="1267"/>
      <c r="E48" s="1266"/>
      <c r="F48" s="1365"/>
    </row>
    <row r="49" spans="1:12" s="1144" customFormat="1" ht="9" customHeight="1">
      <c r="A49" s="1371"/>
      <c r="B49" s="1367"/>
      <c r="C49" s="1368"/>
      <c r="D49" s="1369"/>
      <c r="E49" s="1368"/>
      <c r="F49" s="1370"/>
    </row>
    <row r="50" spans="1:12" s="1144" customFormat="1" ht="9" customHeight="1">
      <c r="A50" s="1364"/>
      <c r="B50" s="1265"/>
      <c r="C50" s="1266"/>
      <c r="D50" s="1267"/>
      <c r="E50" s="1266"/>
      <c r="F50" s="1365"/>
    </row>
    <row r="51" spans="1:12" s="1144" customFormat="1" ht="9" customHeight="1">
      <c r="A51" s="1371"/>
      <c r="B51" s="1367"/>
      <c r="C51" s="1368"/>
      <c r="D51" s="1369"/>
      <c r="E51" s="1368"/>
      <c r="F51" s="1370"/>
    </row>
    <row r="52" spans="1:12" s="1144" customFormat="1" ht="9" customHeight="1">
      <c r="A52" s="1364"/>
      <c r="B52" s="1265"/>
      <c r="C52" s="1266"/>
      <c r="D52" s="1267"/>
      <c r="E52" s="1266"/>
      <c r="F52" s="1365"/>
    </row>
    <row r="53" spans="1:12" s="1144" customFormat="1" ht="9" customHeight="1">
      <c r="A53" s="1371"/>
      <c r="B53" s="1367"/>
      <c r="C53" s="1368"/>
      <c r="D53" s="1369"/>
      <c r="E53" s="1368"/>
      <c r="F53" s="1370"/>
    </row>
    <row r="54" spans="1:12" s="1144" customFormat="1" ht="9" customHeight="1">
      <c r="A54" s="1364"/>
      <c r="B54" s="1265"/>
      <c r="C54" s="1266"/>
      <c r="D54" s="1267"/>
      <c r="E54" s="1266"/>
      <c r="F54" s="1365"/>
    </row>
    <row r="55" spans="1:12" s="1144" customFormat="1" ht="9" customHeight="1" thickBot="1">
      <c r="A55" s="1371"/>
      <c r="B55" s="1367"/>
      <c r="C55" s="1368"/>
      <c r="D55" s="1369"/>
      <c r="E55" s="1368"/>
      <c r="F55" s="1370"/>
    </row>
    <row r="56" spans="1:12" s="1144" customFormat="1" ht="9" customHeight="1" thickTop="1">
      <c r="A56" s="1372"/>
      <c r="B56" s="1373"/>
      <c r="C56" s="1374"/>
      <c r="D56" s="1375"/>
      <c r="E56" s="785"/>
      <c r="F56" s="1376"/>
    </row>
    <row r="57" spans="1:12" s="1144" customFormat="1" ht="15.5">
      <c r="A57" s="1377"/>
      <c r="B57" s="1378" t="s">
        <v>301</v>
      </c>
      <c r="C57" s="1379"/>
      <c r="D57" s="790"/>
      <c r="E57" s="791"/>
      <c r="F57" s="1380"/>
    </row>
    <row r="58" spans="1:12" s="1144" customFormat="1" ht="9" customHeight="1" thickBot="1">
      <c r="A58" s="1381"/>
      <c r="B58" s="1382"/>
      <c r="C58" s="1383"/>
      <c r="D58" s="1384"/>
      <c r="E58" s="1385"/>
      <c r="F58" s="1386"/>
    </row>
    <row r="59" spans="1:12" s="1144" customFormat="1" ht="31.5" thickBot="1">
      <c r="A59" s="1387" t="s">
        <v>21</v>
      </c>
      <c r="B59" s="1388" t="s">
        <v>5</v>
      </c>
      <c r="C59" s="1388" t="s">
        <v>6</v>
      </c>
      <c r="D59" s="1389" t="s">
        <v>1</v>
      </c>
      <c r="E59" s="1389" t="s">
        <v>7</v>
      </c>
      <c r="F59" s="1390" t="s">
        <v>8</v>
      </c>
    </row>
    <row r="60" spans="1:12" s="1144" customFormat="1" ht="9" customHeight="1" thickTop="1">
      <c r="A60" s="1371"/>
      <c r="B60" s="1367"/>
      <c r="C60" s="1368"/>
      <c r="D60" s="1369"/>
      <c r="E60" s="1368"/>
      <c r="F60" s="1370"/>
    </row>
    <row r="61" spans="1:12" s="1145" customFormat="1" ht="48.5">
      <c r="A61" s="1391">
        <v>1.1000000000000001</v>
      </c>
      <c r="B61" s="1268" t="s">
        <v>1520</v>
      </c>
      <c r="C61" s="1269" t="s">
        <v>10</v>
      </c>
      <c r="D61" s="1270">
        <v>1</v>
      </c>
      <c r="E61" s="1269"/>
      <c r="F61" s="1392"/>
    </row>
    <row r="62" spans="1:12" s="1144" customFormat="1" ht="8" customHeight="1">
      <c r="A62" s="1393"/>
      <c r="B62" s="1271"/>
      <c r="C62" s="1272"/>
      <c r="D62" s="1273"/>
      <c r="E62" s="1273"/>
      <c r="F62" s="1394"/>
    </row>
    <row r="63" spans="1:12" s="1139" customFormat="1" ht="31">
      <c r="A63" s="1395">
        <v>1.1100000000000001</v>
      </c>
      <c r="B63" s="1274" t="s">
        <v>1323</v>
      </c>
      <c r="C63" s="772" t="s">
        <v>10</v>
      </c>
      <c r="D63" s="813">
        <v>3</v>
      </c>
      <c r="E63" s="1354"/>
      <c r="F63" s="1396"/>
      <c r="L63" s="1140"/>
    </row>
    <row r="64" spans="1:12" s="1139" customFormat="1" ht="5.5" customHeight="1">
      <c r="A64" s="1395"/>
      <c r="B64" s="1397"/>
      <c r="C64" s="1398"/>
      <c r="D64" s="1275"/>
      <c r="E64" s="1276"/>
      <c r="F64" s="1399"/>
      <c r="L64" s="1140"/>
    </row>
    <row r="65" spans="1:12" s="1139" customFormat="1" ht="15.5">
      <c r="A65" s="1400"/>
      <c r="B65" s="1401" t="s">
        <v>1301</v>
      </c>
      <c r="C65" s="1398"/>
      <c r="D65" s="1275"/>
      <c r="E65" s="1276"/>
      <c r="F65" s="1399"/>
      <c r="L65" s="1140"/>
    </row>
    <row r="66" spans="1:12" s="1139" customFormat="1" ht="15.5">
      <c r="A66" s="1402">
        <v>2</v>
      </c>
      <c r="B66" s="1403" t="s">
        <v>1302</v>
      </c>
      <c r="C66" s="1404"/>
      <c r="D66" s="1404"/>
      <c r="E66" s="1405"/>
      <c r="F66" s="1406"/>
      <c r="L66" s="1140"/>
    </row>
    <row r="67" spans="1:12" s="1139" customFormat="1" ht="31">
      <c r="A67" s="1407">
        <v>2.1</v>
      </c>
      <c r="B67" s="1408" t="s">
        <v>1765</v>
      </c>
      <c r="C67" s="1409" t="s">
        <v>3</v>
      </c>
      <c r="D67" s="1409">
        <v>1</v>
      </c>
      <c r="E67" s="1410"/>
      <c r="F67" s="1411">
        <f>D67*E67</f>
        <v>0</v>
      </c>
      <c r="L67" s="1140"/>
    </row>
    <row r="68" spans="1:12" s="1139" customFormat="1" ht="15.5">
      <c r="A68" s="1412">
        <v>3</v>
      </c>
      <c r="B68" s="1413" t="s">
        <v>1303</v>
      </c>
      <c r="C68" s="1414"/>
      <c r="D68" s="1414"/>
      <c r="E68" s="1415"/>
      <c r="F68" s="1416"/>
      <c r="L68" s="1140"/>
    </row>
    <row r="69" spans="1:12" s="1422" customFormat="1" ht="29.25" customHeight="1">
      <c r="A69" s="1417"/>
      <c r="B69" s="1418" t="s">
        <v>1766</v>
      </c>
      <c r="C69" s="1419"/>
      <c r="D69" s="1419"/>
      <c r="E69" s="1420"/>
      <c r="F69" s="1421"/>
    </row>
    <row r="70" spans="1:12" s="1422" customFormat="1" ht="43.5">
      <c r="A70" s="1423">
        <v>3.1</v>
      </c>
      <c r="B70" s="1424" t="s">
        <v>1767</v>
      </c>
      <c r="C70" s="1425" t="s">
        <v>19</v>
      </c>
      <c r="D70" s="1425">
        <v>130</v>
      </c>
      <c r="E70" s="1426"/>
      <c r="F70" s="1427">
        <f>E70*D70</f>
        <v>0</v>
      </c>
    </row>
    <row r="71" spans="1:12" s="1428" customFormat="1" ht="43.5">
      <c r="A71" s="1423">
        <v>3.2</v>
      </c>
      <c r="B71" s="1424" t="s">
        <v>1768</v>
      </c>
      <c r="C71" s="1425" t="s">
        <v>19</v>
      </c>
      <c r="D71" s="1425">
        <v>30</v>
      </c>
      <c r="E71" s="1426"/>
      <c r="F71" s="1427">
        <f t="shared" ref="F71:F74" si="0">E71*D71</f>
        <v>0</v>
      </c>
    </row>
    <row r="72" spans="1:12" s="1428" customFormat="1" ht="28">
      <c r="A72" s="1423">
        <v>3.2</v>
      </c>
      <c r="B72" s="1424" t="s">
        <v>1769</v>
      </c>
      <c r="C72" s="1425" t="s">
        <v>19</v>
      </c>
      <c r="D72" s="1425">
        <v>70</v>
      </c>
      <c r="E72" s="1426"/>
      <c r="F72" s="1427">
        <f t="shared" si="0"/>
        <v>0</v>
      </c>
    </row>
    <row r="73" spans="1:12" s="1428" customFormat="1" ht="32" customHeight="1">
      <c r="A73" s="1423">
        <v>3.3</v>
      </c>
      <c r="B73" s="1424" t="s">
        <v>1770</v>
      </c>
      <c r="C73" s="1425" t="s">
        <v>19</v>
      </c>
      <c r="D73" s="1425">
        <v>40</v>
      </c>
      <c r="E73" s="1426"/>
      <c r="F73" s="1427">
        <f t="shared" si="0"/>
        <v>0</v>
      </c>
    </row>
    <row r="74" spans="1:12" s="1428" customFormat="1" ht="46.5" customHeight="1">
      <c r="A74" s="1423">
        <v>3.4</v>
      </c>
      <c r="B74" s="1424" t="s">
        <v>1771</v>
      </c>
      <c r="C74" s="1425" t="s">
        <v>19</v>
      </c>
      <c r="D74" s="1425">
        <v>60</v>
      </c>
      <c r="E74" s="1426"/>
      <c r="F74" s="1427">
        <f t="shared" si="0"/>
        <v>0</v>
      </c>
    </row>
    <row r="75" spans="1:12" s="1428" customFormat="1">
      <c r="A75" s="1423">
        <v>4</v>
      </c>
      <c r="B75" s="1418" t="s">
        <v>1772</v>
      </c>
      <c r="C75" s="1425"/>
      <c r="D75" s="1425"/>
      <c r="E75" s="1426"/>
      <c r="F75" s="1427"/>
    </row>
    <row r="76" spans="1:12" s="1437" customFormat="1" ht="52">
      <c r="A76" s="1429">
        <v>4.0999999999999996</v>
      </c>
      <c r="B76" s="1430" t="s">
        <v>1773</v>
      </c>
      <c r="C76" s="1431" t="s">
        <v>13</v>
      </c>
      <c r="D76" s="1431">
        <v>1</v>
      </c>
      <c r="E76" s="1432"/>
      <c r="F76" s="1433">
        <f>E76</f>
        <v>0</v>
      </c>
      <c r="G76" s="1434"/>
      <c r="H76" s="1435"/>
      <c r="I76" s="1436"/>
      <c r="J76" s="1436"/>
    </row>
    <row r="77" spans="1:12" s="1437" customFormat="1" ht="26">
      <c r="A77" s="1429">
        <v>4.2</v>
      </c>
      <c r="B77" s="1430" t="s">
        <v>1774</v>
      </c>
      <c r="C77" s="1431" t="s">
        <v>13</v>
      </c>
      <c r="D77" s="1431">
        <v>2</v>
      </c>
      <c r="E77" s="1438"/>
      <c r="F77" s="1433">
        <f>D77*E77</f>
        <v>0</v>
      </c>
      <c r="G77" s="1434"/>
      <c r="H77" s="1435"/>
      <c r="I77" s="1436"/>
      <c r="J77" s="1436"/>
    </row>
    <row r="78" spans="1:12" s="1428" customFormat="1">
      <c r="A78" s="1423">
        <v>5</v>
      </c>
      <c r="B78" s="1418" t="s">
        <v>1304</v>
      </c>
      <c r="C78" s="1425"/>
      <c r="D78" s="1425"/>
      <c r="E78" s="1426"/>
      <c r="F78" s="1427"/>
    </row>
    <row r="79" spans="1:12" s="1428" customFormat="1" ht="380.5" customHeight="1">
      <c r="A79" s="1423">
        <v>5.0999999999999996</v>
      </c>
      <c r="B79" s="1424" t="s">
        <v>1775</v>
      </c>
      <c r="C79" s="1439" t="s">
        <v>1259</v>
      </c>
      <c r="D79" s="1439">
        <v>1</v>
      </c>
      <c r="E79" s="1440"/>
      <c r="F79" s="1441">
        <f>D79*E79</f>
        <v>0</v>
      </c>
    </row>
    <row r="80" spans="1:12" s="1428" customFormat="1">
      <c r="A80" s="1423">
        <v>6</v>
      </c>
      <c r="B80" s="1418" t="s">
        <v>1776</v>
      </c>
      <c r="C80" s="1425"/>
      <c r="D80" s="1425"/>
      <c r="E80" s="1426"/>
      <c r="F80" s="1427"/>
    </row>
    <row r="81" spans="1:12" s="1428" customFormat="1" ht="72.5">
      <c r="A81" s="1442" t="s">
        <v>1777</v>
      </c>
      <c r="B81" s="1424" t="s">
        <v>1778</v>
      </c>
      <c r="C81" s="1439" t="s">
        <v>1305</v>
      </c>
      <c r="D81" s="1439">
        <v>1</v>
      </c>
      <c r="E81" s="1440"/>
      <c r="F81" s="1441">
        <f>D81*E81</f>
        <v>0</v>
      </c>
    </row>
    <row r="82" spans="1:12" s="1428" customFormat="1" ht="43.5">
      <c r="A82" s="1423">
        <v>6.1</v>
      </c>
      <c r="B82" s="1424" t="s">
        <v>1508</v>
      </c>
      <c r="C82" s="1425" t="s">
        <v>1306</v>
      </c>
      <c r="D82" s="1425">
        <v>1</v>
      </c>
      <c r="E82" s="1426"/>
      <c r="F82" s="1427">
        <f t="shared" ref="F82" si="1">D82*E82</f>
        <v>0</v>
      </c>
    </row>
    <row r="83" spans="1:12" s="1428" customFormat="1">
      <c r="A83" s="1443">
        <v>6.2</v>
      </c>
      <c r="B83" s="1444" t="s">
        <v>1779</v>
      </c>
      <c r="C83" s="1445" t="s">
        <v>3</v>
      </c>
      <c r="D83" s="1446">
        <v>1</v>
      </c>
      <c r="E83" s="1447"/>
      <c r="F83" s="1448">
        <f>D83*E83</f>
        <v>0</v>
      </c>
    </row>
    <row r="84" spans="1:12" s="1428" customFormat="1">
      <c r="A84" s="1443">
        <v>6.3</v>
      </c>
      <c r="B84" s="1444" t="s">
        <v>1780</v>
      </c>
      <c r="C84" s="1425" t="s">
        <v>1307</v>
      </c>
      <c r="D84" s="1449">
        <v>1</v>
      </c>
      <c r="E84" s="1426"/>
      <c r="F84" s="1448">
        <f>D84*E84</f>
        <v>0</v>
      </c>
    </row>
    <row r="85" spans="1:12" s="1428" customFormat="1">
      <c r="A85" s="1443">
        <v>6.4</v>
      </c>
      <c r="B85" s="1450" t="s">
        <v>1781</v>
      </c>
      <c r="C85" s="1446" t="s">
        <v>1259</v>
      </c>
      <c r="D85" s="1446">
        <v>1</v>
      </c>
      <c r="E85" s="1451"/>
      <c r="F85" s="1448">
        <f>D85*E85</f>
        <v>0</v>
      </c>
    </row>
    <row r="86" spans="1:12" s="1428" customFormat="1">
      <c r="A86" s="1443">
        <v>6.5</v>
      </c>
      <c r="B86" s="1450" t="s">
        <v>1782</v>
      </c>
      <c r="C86" s="1446" t="s">
        <v>1259</v>
      </c>
      <c r="D86" s="1446">
        <v>1</v>
      </c>
      <c r="E86" s="1451"/>
      <c r="F86" s="1448">
        <f>D86*E86</f>
        <v>0</v>
      </c>
    </row>
    <row r="87" spans="1:12" s="1139" customFormat="1" ht="39">
      <c r="A87" s="1452">
        <v>6.6</v>
      </c>
      <c r="B87" s="1453" t="s">
        <v>1783</v>
      </c>
      <c r="C87" s="1454" t="s">
        <v>1259</v>
      </c>
      <c r="D87" s="1455">
        <v>1</v>
      </c>
      <c r="E87" s="1456"/>
      <c r="F87" s="1457">
        <f>D87*E87</f>
        <v>0</v>
      </c>
      <c r="L87" s="1140"/>
    </row>
    <row r="88" spans="1:12" s="1139" customFormat="1" ht="15.5">
      <c r="A88" s="1458"/>
      <c r="B88" s="1459"/>
      <c r="C88" s="1460"/>
      <c r="D88" s="1461"/>
      <c r="E88" s="1462"/>
      <c r="F88" s="1463"/>
      <c r="L88" s="1140"/>
    </row>
    <row r="89" spans="1:12" s="1139" customFormat="1" ht="16" thickBot="1">
      <c r="A89" s="1464"/>
      <c r="B89" s="1465" t="s">
        <v>301</v>
      </c>
      <c r="C89" s="1466"/>
      <c r="D89" s="1467"/>
      <c r="E89" s="1468"/>
      <c r="F89" s="1469"/>
      <c r="L89" s="1140"/>
    </row>
    <row r="90" spans="1:12" s="1139" customFormat="1" ht="15.5">
      <c r="A90" s="1470"/>
      <c r="B90" s="1471"/>
      <c r="C90" s="1472"/>
      <c r="D90" s="1473"/>
      <c r="E90" s="1474"/>
      <c r="F90" s="1475"/>
      <c r="L90" s="1140"/>
    </row>
    <row r="91" spans="1:12" s="1139" customFormat="1" ht="15.5">
      <c r="A91" s="763"/>
      <c r="B91" s="764"/>
      <c r="C91" s="746"/>
      <c r="D91" s="736"/>
      <c r="E91" s="1360"/>
      <c r="F91" s="747"/>
      <c r="L91" s="1140"/>
    </row>
    <row r="92" spans="1:12" s="1139" customFormat="1" ht="15.5">
      <c r="A92" s="763"/>
      <c r="B92" s="764" t="s">
        <v>1311</v>
      </c>
      <c r="C92" s="746"/>
      <c r="D92" s="736"/>
      <c r="E92" s="1360"/>
      <c r="F92" s="747"/>
      <c r="L92" s="1140"/>
    </row>
    <row r="93" spans="1:12" s="1139" customFormat="1" ht="15.5">
      <c r="A93" s="763"/>
      <c r="B93" s="764"/>
      <c r="C93" s="746"/>
      <c r="D93" s="741"/>
      <c r="E93" s="1360"/>
      <c r="F93" s="747"/>
      <c r="L93" s="1140"/>
    </row>
    <row r="94" spans="1:12" s="1139" customFormat="1" ht="15.5">
      <c r="A94" s="739"/>
      <c r="B94" s="757" t="s">
        <v>1254</v>
      </c>
      <c r="C94" s="746"/>
      <c r="D94" s="760"/>
      <c r="E94" s="1360"/>
      <c r="F94" s="747">
        <f>F57</f>
        <v>0</v>
      </c>
      <c r="L94" s="1140"/>
    </row>
    <row r="95" spans="1:12" s="1139" customFormat="1" ht="15.5">
      <c r="A95" s="761"/>
      <c r="B95" s="762"/>
      <c r="C95" s="772"/>
      <c r="D95" s="773"/>
      <c r="E95" s="1360"/>
      <c r="F95" s="747"/>
      <c r="L95" s="1140"/>
    </row>
    <row r="96" spans="1:12" s="1139" customFormat="1" ht="15.5">
      <c r="A96" s="739"/>
      <c r="B96" s="757" t="s">
        <v>1255</v>
      </c>
      <c r="C96" s="746"/>
      <c r="D96" s="760"/>
      <c r="E96" s="1360"/>
      <c r="F96" s="747"/>
      <c r="L96" s="1140"/>
    </row>
    <row r="97" spans="1:12" s="1139" customFormat="1" ht="15.5">
      <c r="A97" s="739"/>
      <c r="B97" s="757"/>
      <c r="C97" s="746"/>
      <c r="D97" s="760"/>
      <c r="E97" s="1360"/>
      <c r="F97" s="747"/>
      <c r="L97" s="1140"/>
    </row>
    <row r="98" spans="1:12" s="1139" customFormat="1" ht="15.5">
      <c r="A98" s="763"/>
      <c r="B98" s="762"/>
      <c r="C98" s="746"/>
      <c r="D98" s="736"/>
      <c r="E98" s="1360"/>
      <c r="F98" s="747"/>
      <c r="L98" s="1140"/>
    </row>
    <row r="99" spans="1:12" s="1139" customFormat="1" ht="15.5">
      <c r="A99" s="739"/>
      <c r="B99" s="757"/>
      <c r="C99" s="746"/>
      <c r="D99" s="760"/>
      <c r="E99" s="1360"/>
      <c r="F99" s="747"/>
      <c r="L99" s="1140"/>
    </row>
    <row r="100" spans="1:12" s="1139" customFormat="1" ht="15.5">
      <c r="A100" s="763"/>
      <c r="B100" s="762"/>
      <c r="C100" s="746"/>
      <c r="D100" s="736"/>
      <c r="E100" s="1360"/>
      <c r="F100" s="747"/>
      <c r="L100" s="1140"/>
    </row>
    <row r="101" spans="1:12" s="1139" customFormat="1" ht="15.5">
      <c r="A101" s="763"/>
      <c r="B101" s="762"/>
      <c r="C101" s="746"/>
      <c r="D101" s="736"/>
      <c r="E101" s="1360"/>
      <c r="F101" s="747"/>
      <c r="L101" s="1140"/>
    </row>
    <row r="102" spans="1:12" s="1139" customFormat="1" ht="15.5">
      <c r="A102" s="763"/>
      <c r="B102" s="762"/>
      <c r="C102" s="746"/>
      <c r="D102" s="741"/>
      <c r="E102" s="1360"/>
      <c r="F102" s="747"/>
      <c r="L102" s="1140"/>
    </row>
    <row r="103" spans="1:12" s="1139" customFormat="1" ht="15.5">
      <c r="A103" s="739"/>
      <c r="B103" s="757"/>
      <c r="C103" s="746"/>
      <c r="D103" s="760"/>
      <c r="E103" s="1360"/>
      <c r="F103" s="747"/>
      <c r="L103" s="1140"/>
    </row>
    <row r="104" spans="1:12" s="1139" customFormat="1" ht="15.5">
      <c r="A104" s="761"/>
      <c r="B104" s="762"/>
      <c r="C104" s="772"/>
      <c r="D104" s="773"/>
      <c r="E104" s="1360"/>
      <c r="F104" s="747"/>
      <c r="L104" s="1140"/>
    </row>
    <row r="105" spans="1:12" s="1139" customFormat="1" ht="15.5">
      <c r="A105" s="739"/>
      <c r="B105" s="757"/>
      <c r="C105" s="746"/>
      <c r="D105" s="760"/>
      <c r="E105" s="1360"/>
      <c r="F105" s="747"/>
      <c r="L105" s="1140"/>
    </row>
    <row r="106" spans="1:12" s="1139" customFormat="1" ht="15.5">
      <c r="A106" s="739"/>
      <c r="B106" s="757"/>
      <c r="C106" s="746"/>
      <c r="D106" s="760"/>
      <c r="E106" s="1360"/>
      <c r="F106" s="747"/>
      <c r="L106" s="1140"/>
    </row>
    <row r="107" spans="1:12" s="1139" customFormat="1" ht="15.5">
      <c r="A107" s="763"/>
      <c r="B107" s="764"/>
      <c r="C107" s="746"/>
      <c r="D107" s="736"/>
      <c r="E107" s="1360"/>
      <c r="F107" s="747"/>
      <c r="L107" s="1140"/>
    </row>
    <row r="108" spans="1:12" s="1139" customFormat="1" ht="15.5">
      <c r="A108" s="739"/>
      <c r="B108" s="757"/>
      <c r="C108" s="746"/>
      <c r="D108" s="760"/>
      <c r="E108" s="1360"/>
      <c r="F108" s="747"/>
      <c r="L108" s="1140"/>
    </row>
    <row r="109" spans="1:12" s="1139" customFormat="1" ht="15.5">
      <c r="A109" s="763"/>
      <c r="B109" s="764"/>
      <c r="C109" s="746"/>
      <c r="D109" s="736"/>
      <c r="E109" s="1360"/>
      <c r="F109" s="747"/>
      <c r="L109" s="1140"/>
    </row>
    <row r="110" spans="1:12" s="1139" customFormat="1" ht="15.5">
      <c r="A110" s="763"/>
      <c r="B110" s="764"/>
      <c r="C110" s="746"/>
      <c r="D110" s="736"/>
      <c r="E110" s="1360"/>
      <c r="F110" s="747"/>
      <c r="L110" s="1140"/>
    </row>
    <row r="111" spans="1:12" s="1139" customFormat="1" ht="15.5">
      <c r="A111" s="763"/>
      <c r="B111" s="764"/>
      <c r="C111" s="746"/>
      <c r="D111" s="741"/>
      <c r="E111" s="1360"/>
      <c r="F111" s="747"/>
      <c r="L111" s="1140"/>
    </row>
    <row r="112" spans="1:12" s="1139" customFormat="1" ht="15.5">
      <c r="A112" s="739"/>
      <c r="B112" s="757"/>
      <c r="C112" s="746"/>
      <c r="D112" s="760"/>
      <c r="E112" s="1360"/>
      <c r="F112" s="747"/>
      <c r="L112" s="1140"/>
    </row>
    <row r="113" spans="1:12" s="1139" customFormat="1" ht="15.5">
      <c r="A113" s="763"/>
      <c r="B113" s="764"/>
      <c r="C113" s="746"/>
      <c r="D113" s="736"/>
      <c r="E113" s="1360"/>
      <c r="F113" s="747"/>
      <c r="L113" s="1140"/>
    </row>
    <row r="114" spans="1:12" s="1139" customFormat="1" ht="15.5">
      <c r="A114" s="763"/>
      <c r="B114" s="764"/>
      <c r="C114" s="746"/>
      <c r="D114" s="736"/>
      <c r="E114" s="1360"/>
      <c r="F114" s="747"/>
      <c r="L114" s="1140"/>
    </row>
    <row r="115" spans="1:12" s="1139" customFormat="1" ht="15.5">
      <c r="A115" s="763"/>
      <c r="B115" s="764"/>
      <c r="C115" s="746"/>
      <c r="D115" s="741"/>
      <c r="E115" s="1360"/>
      <c r="F115" s="747"/>
      <c r="L115" s="1140"/>
    </row>
    <row r="116" spans="1:12" s="1139" customFormat="1" ht="15.5">
      <c r="A116" s="739"/>
      <c r="B116" s="802"/>
      <c r="C116" s="746"/>
      <c r="D116" s="760"/>
      <c r="E116" s="1360"/>
      <c r="F116" s="747"/>
      <c r="L116" s="1140"/>
    </row>
    <row r="117" spans="1:12" s="1139" customFormat="1" ht="15.5">
      <c r="A117" s="761"/>
      <c r="B117" s="762"/>
      <c r="C117" s="772"/>
      <c r="D117" s="773"/>
      <c r="E117" s="1360"/>
      <c r="F117" s="747"/>
      <c r="L117" s="1140"/>
    </row>
    <row r="118" spans="1:12" s="1139" customFormat="1" ht="15.5">
      <c r="A118" s="739"/>
      <c r="B118" s="757"/>
      <c r="C118" s="746"/>
      <c r="D118" s="760"/>
      <c r="E118" s="1360"/>
      <c r="F118" s="747"/>
      <c r="L118" s="1140"/>
    </row>
    <row r="119" spans="1:12" s="1139" customFormat="1" ht="15.5">
      <c r="A119" s="739"/>
      <c r="B119" s="757"/>
      <c r="C119" s="746"/>
      <c r="D119" s="760"/>
      <c r="E119" s="1360"/>
      <c r="F119" s="747"/>
      <c r="L119" s="1140"/>
    </row>
    <row r="120" spans="1:12" s="1139" customFormat="1" ht="15.5">
      <c r="A120" s="763"/>
      <c r="B120" s="764"/>
      <c r="C120" s="746"/>
      <c r="D120" s="736"/>
      <c r="E120" s="1360"/>
      <c r="F120" s="747"/>
      <c r="L120" s="1140"/>
    </row>
    <row r="121" spans="1:12" s="1139" customFormat="1" ht="15.5">
      <c r="A121" s="739"/>
      <c r="B121" s="757"/>
      <c r="C121" s="746"/>
      <c r="D121" s="760"/>
      <c r="E121" s="1360"/>
      <c r="F121" s="747"/>
      <c r="L121" s="1140"/>
    </row>
    <row r="122" spans="1:12" s="1139" customFormat="1" ht="15.5">
      <c r="A122" s="763"/>
      <c r="B122" s="764"/>
      <c r="C122" s="746"/>
      <c r="D122" s="736"/>
      <c r="E122" s="1360"/>
      <c r="F122" s="747"/>
      <c r="L122" s="1140"/>
    </row>
    <row r="123" spans="1:12" s="1139" customFormat="1" ht="15.5">
      <c r="A123" s="763"/>
      <c r="B123" s="764"/>
      <c r="C123" s="746"/>
      <c r="D123" s="736"/>
      <c r="E123" s="1360"/>
      <c r="F123" s="747"/>
      <c r="L123" s="1140"/>
    </row>
    <row r="124" spans="1:12" s="1139" customFormat="1" ht="15.5">
      <c r="A124" s="763"/>
      <c r="B124" s="764"/>
      <c r="C124" s="746"/>
      <c r="D124" s="741"/>
      <c r="E124" s="1360"/>
      <c r="F124" s="747"/>
      <c r="L124" s="1140"/>
    </row>
    <row r="125" spans="1:12" s="1139" customFormat="1" ht="15.5">
      <c r="A125" s="739"/>
      <c r="B125" s="802"/>
      <c r="C125" s="746"/>
      <c r="D125" s="760"/>
      <c r="E125" s="1360"/>
      <c r="F125" s="747"/>
      <c r="L125" s="1140"/>
    </row>
    <row r="126" spans="1:12" s="1139" customFormat="1" ht="15.5">
      <c r="A126" s="761"/>
      <c r="B126" s="762"/>
      <c r="C126" s="772"/>
      <c r="D126" s="773"/>
      <c r="E126" s="1360"/>
      <c r="F126" s="747"/>
      <c r="L126" s="1140"/>
    </row>
    <row r="127" spans="1:12" s="1139" customFormat="1" ht="15.5">
      <c r="A127" s="739"/>
      <c r="B127" s="757"/>
      <c r="C127" s="746"/>
      <c r="D127" s="760"/>
      <c r="E127" s="1360"/>
      <c r="F127" s="747"/>
      <c r="L127" s="1140"/>
    </row>
    <row r="128" spans="1:12" s="1139" customFormat="1" ht="15.5">
      <c r="A128" s="739"/>
      <c r="B128" s="757"/>
      <c r="C128" s="746"/>
      <c r="D128" s="760"/>
      <c r="E128" s="1360"/>
      <c r="F128" s="747"/>
      <c r="L128" s="1140"/>
    </row>
    <row r="129" spans="1:12" s="1139" customFormat="1" ht="15.5">
      <c r="A129" s="763"/>
      <c r="B129" s="764"/>
      <c r="C129" s="746"/>
      <c r="D129" s="736"/>
      <c r="E129" s="1360"/>
      <c r="F129" s="747"/>
      <c r="L129" s="1140"/>
    </row>
    <row r="130" spans="1:12" s="1139" customFormat="1" ht="15.5">
      <c r="A130" s="739"/>
      <c r="B130" s="757"/>
      <c r="C130" s="746"/>
      <c r="D130" s="760"/>
      <c r="E130" s="1360"/>
      <c r="F130" s="747"/>
      <c r="L130" s="1140"/>
    </row>
    <row r="131" spans="1:12" s="1139" customFormat="1" ht="15.5">
      <c r="A131" s="763"/>
      <c r="B131" s="764"/>
      <c r="C131" s="746"/>
      <c r="D131" s="736"/>
      <c r="E131" s="1360"/>
      <c r="F131" s="747"/>
      <c r="L131" s="1140"/>
    </row>
    <row r="132" spans="1:12" s="1139" customFormat="1" ht="15.5">
      <c r="A132" s="763"/>
      <c r="B132" s="764"/>
      <c r="C132" s="746"/>
      <c r="D132" s="736"/>
      <c r="E132" s="1360"/>
      <c r="F132" s="747"/>
      <c r="L132" s="1140"/>
    </row>
    <row r="133" spans="1:12" s="1139" customFormat="1" ht="15.5">
      <c r="A133" s="763"/>
      <c r="B133" s="764"/>
      <c r="C133" s="746"/>
      <c r="D133" s="741"/>
      <c r="E133" s="1360"/>
      <c r="F133" s="747"/>
      <c r="L133" s="1140"/>
    </row>
    <row r="134" spans="1:12" s="1139" customFormat="1" ht="15.5">
      <c r="A134" s="739"/>
      <c r="B134" s="757"/>
      <c r="C134" s="746"/>
      <c r="D134" s="760"/>
      <c r="E134" s="1360"/>
      <c r="F134" s="747"/>
      <c r="L134" s="1140"/>
    </row>
    <row r="135" spans="1:12" s="1139" customFormat="1" ht="15.5">
      <c r="A135" s="763"/>
      <c r="B135" s="764"/>
      <c r="C135" s="746"/>
      <c r="D135" s="736"/>
      <c r="E135" s="1360"/>
      <c r="F135" s="747"/>
      <c r="L135" s="1140"/>
    </row>
    <row r="136" spans="1:12" s="1139" customFormat="1" ht="15.5">
      <c r="A136" s="763"/>
      <c r="B136" s="764"/>
      <c r="C136" s="746"/>
      <c r="D136" s="736"/>
      <c r="E136" s="1360"/>
      <c r="F136" s="747"/>
      <c r="L136" s="1140"/>
    </row>
    <row r="137" spans="1:12" s="1139" customFormat="1" ht="15.5">
      <c r="A137" s="763"/>
      <c r="B137" s="764"/>
      <c r="C137" s="746"/>
      <c r="D137" s="741"/>
      <c r="E137" s="1360"/>
      <c r="F137" s="747"/>
      <c r="L137" s="1140"/>
    </row>
    <row r="138" spans="1:12" s="1139" customFormat="1" ht="15.5">
      <c r="A138" s="739"/>
      <c r="B138" s="802"/>
      <c r="C138" s="746"/>
      <c r="D138" s="760"/>
      <c r="E138" s="1360"/>
      <c r="F138" s="747"/>
      <c r="L138" s="1140"/>
    </row>
    <row r="139" spans="1:12" s="1139" customFormat="1" ht="15.5">
      <c r="A139" s="761"/>
      <c r="B139" s="762"/>
      <c r="C139" s="772"/>
      <c r="D139" s="773"/>
      <c r="E139" s="1360"/>
      <c r="F139" s="747"/>
      <c r="L139" s="1140"/>
    </row>
    <row r="140" spans="1:12" s="1139" customFormat="1" ht="15.5">
      <c r="A140" s="739"/>
      <c r="B140" s="757"/>
      <c r="C140" s="746"/>
      <c r="D140" s="760"/>
      <c r="E140" s="1360"/>
      <c r="F140" s="747"/>
      <c r="L140" s="1140"/>
    </row>
    <row r="141" spans="1:12" s="1139" customFormat="1" ht="15.5">
      <c r="A141" s="739"/>
      <c r="B141" s="757"/>
      <c r="C141" s="746"/>
      <c r="D141" s="760"/>
      <c r="E141" s="1360"/>
      <c r="F141" s="747"/>
      <c r="L141" s="1140"/>
    </row>
    <row r="142" spans="1:12" s="1139" customFormat="1" ht="15.5">
      <c r="A142" s="763"/>
      <c r="B142" s="764"/>
      <c r="C142" s="746"/>
      <c r="D142" s="736"/>
      <c r="E142" s="1360"/>
      <c r="F142" s="747"/>
      <c r="L142" s="1140"/>
    </row>
    <row r="143" spans="1:12" s="1139" customFormat="1" ht="15.5">
      <c r="A143" s="739"/>
      <c r="B143" s="757"/>
      <c r="C143" s="746"/>
      <c r="D143" s="760"/>
      <c r="E143" s="1360"/>
      <c r="F143" s="747"/>
      <c r="L143" s="1140"/>
    </row>
    <row r="144" spans="1:12" s="1139" customFormat="1" ht="15.5">
      <c r="A144" s="763"/>
      <c r="B144" s="764"/>
      <c r="C144" s="746"/>
      <c r="D144" s="736"/>
      <c r="E144" s="1360"/>
      <c r="F144" s="747"/>
      <c r="L144" s="1140"/>
    </row>
    <row r="145" spans="1:12" s="1139" customFormat="1" ht="16" thickBot="1">
      <c r="A145" s="1476"/>
      <c r="B145" s="1477"/>
      <c r="C145" s="1478"/>
      <c r="D145" s="848"/>
      <c r="E145" s="849"/>
      <c r="F145" s="850"/>
      <c r="L145" s="1140"/>
    </row>
    <row r="146" spans="1:12" s="1139" customFormat="1" ht="16" thickTop="1">
      <c r="A146" s="1479"/>
      <c r="B146" s="1373"/>
      <c r="C146" s="1374"/>
      <c r="D146" s="1375"/>
      <c r="E146" s="785"/>
      <c r="F146" s="851"/>
      <c r="L146" s="1140"/>
    </row>
    <row r="147" spans="1:12" s="1139" customFormat="1" ht="15.5">
      <c r="A147" s="1480"/>
      <c r="B147" s="1573" t="s">
        <v>1509</v>
      </c>
      <c r="C147" s="1573"/>
      <c r="D147" s="1573"/>
      <c r="E147" s="791"/>
      <c r="F147" s="852"/>
      <c r="L147" s="1140"/>
    </row>
    <row r="148" spans="1:12" s="1139" customFormat="1" ht="16" thickBot="1">
      <c r="A148" s="1481"/>
      <c r="B148" s="1482"/>
      <c r="C148" s="1483"/>
      <c r="D148" s="1484"/>
      <c r="E148" s="796"/>
      <c r="F148" s="732"/>
      <c r="L148" s="1140"/>
    </row>
    <row r="149" spans="1:12" s="1139" customFormat="1" ht="16" thickTop="1">
      <c r="A149" s="1485"/>
      <c r="B149" s="1486"/>
      <c r="C149" s="1487"/>
      <c r="D149" s="1488"/>
      <c r="E149" s="1277"/>
      <c r="F149" s="1334"/>
      <c r="L149" s="1140"/>
    </row>
    <row r="150" spans="1:12" s="1139" customFormat="1" ht="15.5">
      <c r="A150" s="1278"/>
      <c r="B150" s="1489"/>
      <c r="C150" s="1472"/>
      <c r="D150" s="1490"/>
      <c r="E150" s="1474"/>
      <c r="F150" s="1474"/>
      <c r="L150" s="1140"/>
    </row>
    <row r="151" spans="1:12" s="1139" customFormat="1" ht="15.5">
      <c r="A151" s="1278"/>
      <c r="B151" s="1489"/>
      <c r="C151" s="1472"/>
      <c r="D151" s="1490"/>
      <c r="E151" s="1474"/>
      <c r="F151" s="1474"/>
      <c r="G151" s="1280"/>
      <c r="L151" s="1140"/>
    </row>
    <row r="152" spans="1:12" s="1139" customFormat="1" ht="15.5">
      <c r="A152" s="1278"/>
      <c r="B152" s="1489"/>
      <c r="C152" s="1472"/>
      <c r="D152" s="1490"/>
      <c r="E152" s="1474"/>
      <c r="F152" s="1474"/>
      <c r="G152" s="1280"/>
      <c r="L152" s="1140"/>
    </row>
    <row r="153" spans="1:12" s="1139" customFormat="1" ht="15.5">
      <c r="A153" s="1278"/>
      <c r="B153" s="1489"/>
      <c r="C153" s="1472"/>
      <c r="D153" s="1490"/>
      <c r="E153" s="1474"/>
      <c r="F153" s="1474"/>
      <c r="G153" s="1280"/>
      <c r="L153" s="1140"/>
    </row>
    <row r="154" spans="1:12" s="1139" customFormat="1">
      <c r="A154" s="1147"/>
      <c r="B154" s="1491"/>
      <c r="C154" s="1492"/>
      <c r="D154" s="1493"/>
      <c r="E154" s="1494"/>
      <c r="F154" s="1494"/>
      <c r="G154" s="1280"/>
      <c r="L154" s="1140"/>
    </row>
    <row r="155" spans="1:12" s="1139" customFormat="1">
      <c r="A155" s="1147"/>
      <c r="B155" s="1491"/>
      <c r="C155" s="1492"/>
      <c r="D155" s="1493"/>
      <c r="E155" s="1494"/>
      <c r="F155" s="1494"/>
      <c r="G155" s="1280"/>
      <c r="L155" s="1140"/>
    </row>
    <row r="156" spans="1:12" s="1139" customFormat="1">
      <c r="A156" s="1147"/>
      <c r="B156" s="1491"/>
      <c r="C156" s="1492"/>
      <c r="D156" s="1493"/>
      <c r="E156" s="1494"/>
      <c r="F156" s="1494"/>
      <c r="G156" s="1280"/>
      <c r="L156" s="1140"/>
    </row>
    <row r="157" spans="1:12" s="1139" customFormat="1">
      <c r="A157" s="1147"/>
      <c r="B157" s="1491"/>
      <c r="C157" s="1492"/>
      <c r="D157" s="1493"/>
      <c r="E157" s="1494"/>
      <c r="F157" s="1494"/>
      <c r="G157" s="1280"/>
      <c r="L157" s="1140"/>
    </row>
    <row r="158" spans="1:12" s="1139" customFormat="1">
      <c r="A158" s="1147"/>
      <c r="B158" s="1491"/>
      <c r="C158" s="1492"/>
      <c r="D158" s="1493"/>
      <c r="E158" s="1494"/>
      <c r="F158" s="1494"/>
      <c r="G158" s="1280"/>
      <c r="L158" s="1140"/>
    </row>
    <row r="159" spans="1:12" s="1139" customFormat="1">
      <c r="A159" s="1147"/>
      <c r="B159" s="1491"/>
      <c r="C159" s="1492"/>
      <c r="D159" s="1493"/>
      <c r="E159" s="1494"/>
      <c r="F159" s="1494"/>
      <c r="G159" s="1280"/>
      <c r="L159" s="1140"/>
    </row>
    <row r="160" spans="1:12" s="1139" customFormat="1">
      <c r="A160" s="1147"/>
      <c r="B160" s="1491"/>
      <c r="C160" s="1492"/>
      <c r="D160" s="1493"/>
      <c r="E160" s="1494"/>
      <c r="F160" s="1494"/>
      <c r="G160" s="1280"/>
      <c r="L160" s="1140"/>
    </row>
    <row r="161" spans="1:12" s="1139" customFormat="1">
      <c r="A161" s="1147"/>
      <c r="B161" s="1491"/>
      <c r="C161" s="1492"/>
      <c r="D161" s="1493"/>
      <c r="E161" s="1494"/>
      <c r="F161" s="1494"/>
      <c r="G161" s="1280"/>
      <c r="L161" s="1140"/>
    </row>
    <row r="162" spans="1:12" s="1139" customFormat="1">
      <c r="A162" s="1147"/>
      <c r="B162" s="1491"/>
      <c r="C162" s="1492"/>
      <c r="D162" s="1493"/>
      <c r="E162" s="1494"/>
      <c r="F162" s="1494"/>
      <c r="G162" s="1280"/>
      <c r="L162" s="1140"/>
    </row>
    <row r="163" spans="1:12" s="1139" customFormat="1">
      <c r="A163" s="1147"/>
      <c r="B163" s="1491"/>
      <c r="C163" s="1492"/>
      <c r="D163" s="1493"/>
      <c r="E163" s="1494"/>
      <c r="F163" s="1494"/>
      <c r="G163" s="1280"/>
      <c r="L163" s="1140"/>
    </row>
    <row r="164" spans="1:12" s="1139" customFormat="1">
      <c r="A164" s="1147"/>
      <c r="B164" s="1491"/>
      <c r="C164" s="1492"/>
      <c r="D164" s="1493"/>
      <c r="E164" s="1494"/>
      <c r="F164" s="1494"/>
      <c r="G164" s="1280"/>
      <c r="L164" s="1140"/>
    </row>
    <row r="165" spans="1:12" s="1139" customFormat="1">
      <c r="A165" s="1147"/>
      <c r="B165" s="1491"/>
      <c r="C165" s="1492"/>
      <c r="D165" s="1493"/>
      <c r="E165" s="1494"/>
      <c r="F165" s="1494"/>
      <c r="G165" s="1280"/>
      <c r="L165" s="1140"/>
    </row>
    <row r="166" spans="1:12" s="1139" customFormat="1">
      <c r="A166" s="1147"/>
      <c r="B166" s="1335"/>
      <c r="C166" s="1492"/>
      <c r="D166" s="1493"/>
      <c r="E166" s="1494"/>
      <c r="F166" s="1494"/>
      <c r="G166" s="1280"/>
      <c r="L166" s="1140"/>
    </row>
    <row r="167" spans="1:12" s="1139" customFormat="1">
      <c r="A167" s="1147"/>
      <c r="B167" s="1491"/>
      <c r="C167" s="1492"/>
      <c r="D167" s="1493"/>
      <c r="E167" s="1494"/>
      <c r="F167" s="1494"/>
      <c r="G167" s="1280"/>
      <c r="L167" s="1140"/>
    </row>
    <row r="168" spans="1:12" s="1139" customFormat="1">
      <c r="A168" s="1147"/>
      <c r="B168" s="1495"/>
      <c r="C168" s="1492"/>
      <c r="D168" s="1493"/>
      <c r="E168" s="1494"/>
      <c r="F168" s="1494"/>
      <c r="G168" s="1280"/>
      <c r="L168" s="1140"/>
    </row>
    <row r="169" spans="1:12" s="1139" customFormat="1">
      <c r="A169" s="1496"/>
      <c r="B169" s="1497"/>
      <c r="C169" s="1498"/>
      <c r="D169" s="1281"/>
      <c r="E169" s="1282"/>
      <c r="F169" s="1283"/>
      <c r="G169" s="1280"/>
      <c r="L169" s="1140"/>
    </row>
    <row r="170" spans="1:12" s="1139" customFormat="1">
      <c r="A170" s="1496"/>
      <c r="B170" s="1497"/>
      <c r="C170" s="1498"/>
      <c r="D170" s="1281"/>
      <c r="E170" s="1282"/>
      <c r="F170" s="1284"/>
      <c r="G170" s="1280"/>
      <c r="L170" s="1140"/>
    </row>
    <row r="171" spans="1:12" s="1139" customFormat="1">
      <c r="A171" s="1146"/>
      <c r="B171" s="1499"/>
      <c r="C171" s="1498"/>
      <c r="D171" s="1281"/>
      <c r="E171" s="1282"/>
      <c r="F171" s="1283"/>
      <c r="G171" s="1280"/>
      <c r="L171" s="1140"/>
    </row>
    <row r="172" spans="1:12" s="1139" customFormat="1">
      <c r="A172" s="1496"/>
      <c r="B172" s="1499"/>
      <c r="C172" s="1498"/>
      <c r="D172" s="1281"/>
      <c r="E172" s="1282"/>
      <c r="F172" s="1283"/>
      <c r="G172" s="1280"/>
      <c r="L172" s="1140"/>
    </row>
    <row r="173" spans="1:12" s="1139" customFormat="1">
      <c r="A173" s="1146"/>
      <c r="B173" s="1499"/>
      <c r="C173" s="1498"/>
      <c r="D173" s="1281"/>
      <c r="E173" s="1282"/>
      <c r="F173" s="1283"/>
      <c r="G173" s="1280"/>
      <c r="L173" s="1140"/>
    </row>
    <row r="174" spans="1:12" s="1144" customFormat="1">
      <c r="A174" s="1496"/>
      <c r="B174" s="1499"/>
      <c r="C174" s="1498"/>
      <c r="D174" s="1281"/>
      <c r="E174" s="1282"/>
      <c r="F174" s="1283"/>
      <c r="G174" s="1153"/>
    </row>
    <row r="175" spans="1:12">
      <c r="A175" s="1496"/>
      <c r="B175" s="1499"/>
      <c r="C175" s="1498"/>
      <c r="D175" s="1281"/>
      <c r="E175" s="1282"/>
      <c r="F175" s="1283"/>
      <c r="G175" s="1285"/>
    </row>
    <row r="176" spans="1:12">
      <c r="A176" s="1279"/>
      <c r="B176" s="1286"/>
      <c r="C176" s="1287"/>
      <c r="D176" s="1288"/>
      <c r="E176" s="1287"/>
      <c r="F176" s="1289"/>
      <c r="G176" s="1285"/>
    </row>
    <row r="177" spans="1:7">
      <c r="A177" s="1279"/>
      <c r="B177" s="1286"/>
      <c r="C177" s="1287"/>
      <c r="D177" s="1288"/>
      <c r="E177" s="1287"/>
      <c r="F177" s="1289"/>
      <c r="G177" s="1285"/>
    </row>
    <row r="178" spans="1:7">
      <c r="A178" s="1287"/>
      <c r="B178" s="1286"/>
      <c r="C178" s="1287"/>
      <c r="D178" s="1288"/>
      <c r="E178" s="1287"/>
      <c r="F178" s="1289"/>
      <c r="G178" s="1285"/>
    </row>
    <row r="179" spans="1:7">
      <c r="A179" s="1500"/>
      <c r="B179" s="1501"/>
      <c r="C179" s="1502"/>
      <c r="D179" s="1503"/>
      <c r="E179" s="1290"/>
      <c r="F179" s="1291"/>
      <c r="G179" s="1285"/>
    </row>
    <row r="180" spans="1:7">
      <c r="A180" s="1504"/>
      <c r="B180" s="1574"/>
      <c r="C180" s="1574"/>
      <c r="D180" s="1574"/>
      <c r="E180" s="1574"/>
      <c r="F180" s="1292"/>
      <c r="G180" s="1285"/>
    </row>
    <row r="181" spans="1:7">
      <c r="A181" s="1505"/>
      <c r="B181" s="1506"/>
      <c r="C181" s="1502"/>
      <c r="D181" s="1503"/>
      <c r="E181" s="1290"/>
      <c r="F181" s="1291"/>
      <c r="G181" s="1285"/>
    </row>
    <row r="182" spans="1:7">
      <c r="A182" s="1285"/>
      <c r="B182" s="1293"/>
      <c r="C182" s="1294"/>
      <c r="D182" s="1295"/>
      <c r="E182" s="1295"/>
      <c r="F182" s="1296"/>
      <c r="G182" s="1285"/>
    </row>
    <row r="183" spans="1:7">
      <c r="A183" s="1285"/>
      <c r="B183" s="1293"/>
      <c r="C183" s="1294"/>
      <c r="D183" s="1295"/>
      <c r="E183" s="1295"/>
      <c r="F183" s="1296"/>
      <c r="G183" s="1285"/>
    </row>
    <row r="184" spans="1:7">
      <c r="A184" s="1285"/>
      <c r="B184" s="1293"/>
      <c r="C184" s="1294"/>
      <c r="D184" s="1295"/>
      <c r="E184" s="1295"/>
      <c r="F184" s="1296"/>
      <c r="G184" s="1285"/>
    </row>
  </sheetData>
  <mergeCells count="5">
    <mergeCell ref="B1:E1"/>
    <mergeCell ref="A2:F2"/>
    <mergeCell ref="A3:F3"/>
    <mergeCell ref="B147:D147"/>
    <mergeCell ref="B180:E180"/>
  </mergeCells>
  <printOptions horizontalCentered="1"/>
  <pageMargins left="0.75" right="0.5" top="1.05" bottom="0.75" header="0.5" footer="0.5"/>
  <pageSetup paperSize="9" scale="57" firstPageNumber="147" orientation="portrait" useFirstPageNumber="1" r:id="rId1"/>
  <headerFooter>
    <oddHeader>&amp;LWater and Sanitation Development Project (WSDP)&amp;RSecond Baricho - Kakuyuni Water Supply Project</oddHeader>
    <oddFooter>&amp;C&amp;A&amp;R&amp;P</oddFooter>
  </headerFooter>
  <rowBreaks count="2" manualBreakCount="2">
    <brk id="58" max="5" man="1"/>
    <brk id="89"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40"/>
  <sheetViews>
    <sheetView view="pageBreakPreview" topLeftCell="A72" zoomScaleNormal="100" zoomScaleSheetLayoutView="100" zoomScalePageLayoutView="118" workbookViewId="0">
      <selection activeCell="B10" sqref="B10"/>
    </sheetView>
  </sheetViews>
  <sheetFormatPr defaultColWidth="9.08984375" defaultRowHeight="15.5"/>
  <cols>
    <col min="1" max="1" width="9.54296875" style="1243" customWidth="1"/>
    <col min="2" max="2" width="48.54296875" style="1244" customWidth="1"/>
    <col min="3" max="3" width="8.54296875" style="1245" customWidth="1"/>
    <col min="4" max="4" width="8.6328125" style="1245" customWidth="1"/>
    <col min="5" max="5" width="11.08984375" style="1246" customWidth="1"/>
    <col min="6" max="6" width="14.6328125" style="1246" customWidth="1"/>
    <col min="7" max="8" width="9.08984375" style="572"/>
    <col min="9" max="9" width="8.6328125" style="1240" customWidth="1"/>
    <col min="10" max="16384" width="9.08984375" style="572"/>
  </cols>
  <sheetData>
    <row r="1" spans="1:9" ht="16" thickTop="1">
      <c r="A1" s="1154"/>
      <c r="B1" s="1155"/>
      <c r="C1" s="1155"/>
      <c r="D1" s="1155"/>
      <c r="E1" s="1155"/>
      <c r="F1" s="1156"/>
      <c r="I1" s="1157"/>
    </row>
    <row r="2" spans="1:9">
      <c r="A2" s="1577" t="s">
        <v>1510</v>
      </c>
      <c r="B2" s="1578"/>
      <c r="C2" s="1578"/>
      <c r="D2" s="1578"/>
      <c r="E2" s="1578"/>
      <c r="F2" s="1579"/>
      <c r="I2" s="570"/>
    </row>
    <row r="3" spans="1:9" s="570" customFormat="1" ht="16" thickBot="1">
      <c r="A3" s="565"/>
      <c r="C3" s="571"/>
      <c r="D3" s="1158"/>
      <c r="E3" s="1159"/>
      <c r="F3" s="1160"/>
      <c r="I3" s="1158"/>
    </row>
    <row r="4" spans="1:9" s="570" customFormat="1" ht="29.25" customHeight="1" thickTop="1" thickBot="1">
      <c r="A4" s="1161" t="s">
        <v>4</v>
      </c>
      <c r="B4" s="1162" t="s">
        <v>5</v>
      </c>
      <c r="C4" s="1162" t="s">
        <v>6</v>
      </c>
      <c r="D4" s="1163" t="s">
        <v>1</v>
      </c>
      <c r="E4" s="1164" t="s">
        <v>7</v>
      </c>
      <c r="F4" s="1165" t="s">
        <v>829</v>
      </c>
      <c r="I4" s="1166"/>
    </row>
    <row r="5" spans="1:9" ht="16" thickTop="1">
      <c r="A5" s="1167"/>
      <c r="B5" s="1168"/>
      <c r="C5" s="1169"/>
      <c r="D5" s="1170"/>
      <c r="E5" s="1171"/>
      <c r="F5" s="1172"/>
      <c r="I5" s="1173"/>
    </row>
    <row r="6" spans="1:9">
      <c r="A6" s="1174">
        <v>1.1000000000000001</v>
      </c>
      <c r="B6" s="1175" t="s">
        <v>830</v>
      </c>
      <c r="C6" s="1176"/>
      <c r="D6" s="1176"/>
      <c r="E6" s="1177"/>
      <c r="F6" s="1178"/>
      <c r="I6" s="1179"/>
    </row>
    <row r="7" spans="1:9">
      <c r="A7" s="1180"/>
      <c r="B7" s="1181"/>
      <c r="C7" s="1176"/>
      <c r="D7" s="1176"/>
      <c r="E7" s="1177"/>
      <c r="F7" s="1178"/>
      <c r="I7" s="1179"/>
    </row>
    <row r="8" spans="1:9" ht="81" customHeight="1">
      <c r="A8" s="1180"/>
      <c r="B8" s="1182" t="s">
        <v>831</v>
      </c>
      <c r="C8" s="1183"/>
      <c r="D8" s="1176"/>
      <c r="E8" s="1177"/>
      <c r="F8" s="1184"/>
      <c r="I8" s="1179"/>
    </row>
    <row r="9" spans="1:9">
      <c r="A9" s="1185"/>
      <c r="B9" s="1186"/>
      <c r="C9" s="1187"/>
      <c r="D9" s="1188"/>
      <c r="E9" s="1189"/>
      <c r="F9" s="1190"/>
      <c r="I9" s="1173"/>
    </row>
    <row r="10" spans="1:9">
      <c r="A10" s="1185" t="s">
        <v>83</v>
      </c>
      <c r="B10" s="1191" t="s">
        <v>832</v>
      </c>
      <c r="C10" s="1187" t="s">
        <v>730</v>
      </c>
      <c r="D10" s="1188">
        <v>1600</v>
      </c>
      <c r="E10" s="1189"/>
      <c r="F10" s="1190">
        <f>+E10*D10</f>
        <v>0</v>
      </c>
      <c r="I10" s="1173"/>
    </row>
    <row r="11" spans="1:9">
      <c r="A11" s="1185"/>
      <c r="B11" s="1186"/>
      <c r="C11" s="1187"/>
      <c r="D11" s="1188"/>
      <c r="E11" s="1189"/>
      <c r="F11" s="1190"/>
      <c r="I11" s="1173"/>
    </row>
    <row r="12" spans="1:9">
      <c r="A12" s="1185" t="s">
        <v>85</v>
      </c>
      <c r="B12" s="1191" t="s">
        <v>833</v>
      </c>
      <c r="C12" s="1187" t="s">
        <v>730</v>
      </c>
      <c r="D12" s="1188">
        <v>180</v>
      </c>
      <c r="E12" s="1189"/>
      <c r="F12" s="1190">
        <f>+E12*D12</f>
        <v>0</v>
      </c>
      <c r="I12" s="1173"/>
    </row>
    <row r="13" spans="1:9">
      <c r="A13" s="1185"/>
      <c r="B13" s="1186"/>
      <c r="C13" s="1187"/>
      <c r="D13" s="1188"/>
      <c r="E13" s="1189"/>
      <c r="F13" s="1190"/>
      <c r="I13" s="1173"/>
    </row>
    <row r="14" spans="1:9">
      <c r="A14" s="1185" t="s">
        <v>86</v>
      </c>
      <c r="B14" s="1191" t="s">
        <v>834</v>
      </c>
      <c r="C14" s="1187" t="s">
        <v>730</v>
      </c>
      <c r="D14" s="1188">
        <v>300</v>
      </c>
      <c r="E14" s="1189"/>
      <c r="F14" s="1190">
        <f>+E14*D14</f>
        <v>0</v>
      </c>
      <c r="I14" s="1173"/>
    </row>
    <row r="15" spans="1:9">
      <c r="A15" s="1185"/>
      <c r="B15" s="1186"/>
      <c r="C15" s="1187"/>
      <c r="D15" s="1188"/>
      <c r="E15" s="1189"/>
      <c r="F15" s="1190"/>
      <c r="I15" s="1173"/>
    </row>
    <row r="16" spans="1:9">
      <c r="A16" s="1185" t="s">
        <v>729</v>
      </c>
      <c r="B16" s="1191" t="s">
        <v>835</v>
      </c>
      <c r="C16" s="1187" t="s">
        <v>730</v>
      </c>
      <c r="D16" s="1188">
        <v>300</v>
      </c>
      <c r="E16" s="1189"/>
      <c r="F16" s="1190">
        <f>+E16*D16</f>
        <v>0</v>
      </c>
      <c r="I16" s="1173"/>
    </row>
    <row r="17" spans="1:9">
      <c r="A17" s="1185"/>
      <c r="B17" s="1186"/>
      <c r="C17" s="1187"/>
      <c r="D17" s="1188"/>
      <c r="E17" s="1189"/>
      <c r="F17" s="1190"/>
      <c r="I17" s="1173"/>
    </row>
    <row r="18" spans="1:9">
      <c r="A18" s="1185" t="s">
        <v>731</v>
      </c>
      <c r="B18" s="1191" t="s">
        <v>836</v>
      </c>
      <c r="C18" s="1187" t="s">
        <v>730</v>
      </c>
      <c r="D18" s="1188">
        <v>200</v>
      </c>
      <c r="E18" s="1189"/>
      <c r="F18" s="1190">
        <f>+E18*D18</f>
        <v>0</v>
      </c>
      <c r="I18" s="1173"/>
    </row>
    <row r="19" spans="1:9">
      <c r="A19" s="1185"/>
      <c r="B19" s="1186"/>
      <c r="C19" s="1187"/>
      <c r="D19" s="1188"/>
      <c r="E19" s="1189"/>
      <c r="F19" s="1190"/>
      <c r="I19" s="1173"/>
    </row>
    <row r="20" spans="1:9">
      <c r="A20" s="1185" t="s">
        <v>732</v>
      </c>
      <c r="B20" s="1191" t="s">
        <v>837</v>
      </c>
      <c r="C20" s="1187" t="s">
        <v>730</v>
      </c>
      <c r="D20" s="1188">
        <v>100</v>
      </c>
      <c r="E20" s="1189"/>
      <c r="F20" s="1190">
        <f>+E20*D20</f>
        <v>0</v>
      </c>
      <c r="I20" s="1173"/>
    </row>
    <row r="21" spans="1:9">
      <c r="A21" s="1185"/>
      <c r="B21" s="1186"/>
      <c r="C21" s="1187"/>
      <c r="D21" s="1188"/>
      <c r="E21" s="1189"/>
      <c r="F21" s="1190"/>
      <c r="I21" s="1173"/>
    </row>
    <row r="22" spans="1:9">
      <c r="A22" s="1185" t="s">
        <v>733</v>
      </c>
      <c r="B22" s="1186" t="s">
        <v>838</v>
      </c>
      <c r="C22" s="1187" t="s">
        <v>730</v>
      </c>
      <c r="D22" s="1188">
        <v>200</v>
      </c>
      <c r="E22" s="1189"/>
      <c r="F22" s="1190">
        <f>+E22*D22</f>
        <v>0</v>
      </c>
      <c r="I22" s="1173"/>
    </row>
    <row r="23" spans="1:9">
      <c r="A23" s="1185"/>
      <c r="B23" s="1186"/>
      <c r="C23" s="1187"/>
      <c r="D23" s="1188"/>
      <c r="E23" s="1189"/>
      <c r="F23" s="1190"/>
      <c r="I23" s="1173"/>
    </row>
    <row r="24" spans="1:9">
      <c r="A24" s="1185" t="s">
        <v>734</v>
      </c>
      <c r="B24" s="1186" t="s">
        <v>839</v>
      </c>
      <c r="C24" s="1187" t="s">
        <v>730</v>
      </c>
      <c r="D24" s="1188">
        <v>400</v>
      </c>
      <c r="E24" s="1189"/>
      <c r="F24" s="1190">
        <f>+E24*D24</f>
        <v>0</v>
      </c>
      <c r="I24" s="1173"/>
    </row>
    <row r="25" spans="1:9">
      <c r="A25" s="1185"/>
      <c r="B25" s="1186"/>
      <c r="C25" s="1187"/>
      <c r="D25" s="1188"/>
      <c r="E25" s="1189"/>
      <c r="F25" s="1190"/>
      <c r="I25" s="1173"/>
    </row>
    <row r="26" spans="1:9">
      <c r="A26" s="1185" t="s">
        <v>735</v>
      </c>
      <c r="B26" s="1186" t="s">
        <v>840</v>
      </c>
      <c r="C26" s="1187" t="s">
        <v>730</v>
      </c>
      <c r="D26" s="1188">
        <v>200</v>
      </c>
      <c r="E26" s="1189"/>
      <c r="F26" s="1190">
        <f>+E26*D26</f>
        <v>0</v>
      </c>
      <c r="I26" s="1173"/>
    </row>
    <row r="27" spans="1:9">
      <c r="A27" s="1185"/>
      <c r="B27" s="1186"/>
      <c r="C27" s="1187"/>
      <c r="D27" s="1188"/>
      <c r="E27" s="1189"/>
      <c r="F27" s="1190"/>
      <c r="I27" s="1173"/>
    </row>
    <row r="28" spans="1:9">
      <c r="A28" s="1192" t="s">
        <v>736</v>
      </c>
      <c r="B28" s="1186" t="s">
        <v>841</v>
      </c>
      <c r="C28" s="1187" t="s">
        <v>730</v>
      </c>
      <c r="D28" s="1188">
        <v>400</v>
      </c>
      <c r="E28" s="1189"/>
      <c r="F28" s="1190">
        <f>+E28*D28</f>
        <v>0</v>
      </c>
      <c r="I28" s="1173"/>
    </row>
    <row r="29" spans="1:9">
      <c r="A29" s="1185"/>
      <c r="B29" s="1186"/>
      <c r="C29" s="1187"/>
      <c r="D29" s="1188"/>
      <c r="E29" s="1189"/>
      <c r="F29" s="1190"/>
      <c r="I29" s="1173"/>
    </row>
    <row r="30" spans="1:9">
      <c r="A30" s="1185" t="s">
        <v>737</v>
      </c>
      <c r="B30" s="1186" t="s">
        <v>842</v>
      </c>
      <c r="C30" s="1187" t="s">
        <v>730</v>
      </c>
      <c r="D30" s="1188">
        <v>200</v>
      </c>
      <c r="E30" s="1189"/>
      <c r="F30" s="1190">
        <f>+E30*D30</f>
        <v>0</v>
      </c>
      <c r="I30" s="1173"/>
    </row>
    <row r="31" spans="1:9">
      <c r="A31" s="1185"/>
      <c r="B31" s="1186"/>
      <c r="C31" s="1187"/>
      <c r="D31" s="1188"/>
      <c r="E31" s="1189"/>
      <c r="F31" s="1190"/>
      <c r="I31" s="1173"/>
    </row>
    <row r="32" spans="1:9">
      <c r="A32" s="1185" t="s">
        <v>738</v>
      </c>
      <c r="B32" s="1186" t="s">
        <v>843</v>
      </c>
      <c r="C32" s="1187" t="s">
        <v>730</v>
      </c>
      <c r="D32" s="1188">
        <v>400</v>
      </c>
      <c r="E32" s="1189"/>
      <c r="F32" s="1190">
        <f>+E32*D32</f>
        <v>0</v>
      </c>
      <c r="I32" s="1173"/>
    </row>
    <row r="33" spans="1:9">
      <c r="A33" s="1185"/>
      <c r="B33" s="1186"/>
      <c r="C33" s="1187"/>
      <c r="D33" s="1188"/>
      <c r="E33" s="1189"/>
      <c r="F33" s="1190"/>
      <c r="I33" s="1173"/>
    </row>
    <row r="34" spans="1:9">
      <c r="A34" s="1185" t="s">
        <v>739</v>
      </c>
      <c r="B34" s="1186" t="s">
        <v>844</v>
      </c>
      <c r="C34" s="1187" t="s">
        <v>730</v>
      </c>
      <c r="D34" s="1188">
        <v>200</v>
      </c>
      <c r="E34" s="1189"/>
      <c r="F34" s="1190">
        <f>+E34*D34</f>
        <v>0</v>
      </c>
      <c r="I34" s="1173"/>
    </row>
    <row r="35" spans="1:9">
      <c r="A35" s="1185"/>
      <c r="B35" s="1186"/>
      <c r="C35" s="1187"/>
      <c r="D35" s="1188"/>
      <c r="E35" s="1189"/>
      <c r="F35" s="1190"/>
      <c r="I35" s="1173"/>
    </row>
    <row r="36" spans="1:9">
      <c r="A36" s="1185" t="s">
        <v>740</v>
      </c>
      <c r="B36" s="1186" t="s">
        <v>845</v>
      </c>
      <c r="C36" s="1187" t="s">
        <v>730</v>
      </c>
      <c r="D36" s="1188">
        <v>600</v>
      </c>
      <c r="E36" s="1189"/>
      <c r="F36" s="1190">
        <f>+E36*D36</f>
        <v>0</v>
      </c>
      <c r="I36" s="1173"/>
    </row>
    <row r="37" spans="1:9">
      <c r="A37" s="1185"/>
      <c r="B37" s="1186"/>
      <c r="C37" s="1187"/>
      <c r="D37" s="1188"/>
      <c r="E37" s="1189"/>
      <c r="F37" s="1190"/>
      <c r="I37" s="1173"/>
    </row>
    <row r="38" spans="1:9">
      <c r="A38" s="1185"/>
      <c r="B38" s="1186"/>
      <c r="C38" s="1187"/>
      <c r="D38" s="1188"/>
      <c r="E38" s="1189"/>
      <c r="F38" s="1190"/>
      <c r="I38" s="1173"/>
    </row>
    <row r="39" spans="1:9">
      <c r="A39" s="1185"/>
      <c r="B39" s="1186"/>
      <c r="C39" s="1187"/>
      <c r="D39" s="1188"/>
      <c r="E39" s="1189"/>
      <c r="F39" s="1190"/>
      <c r="I39" s="1173"/>
    </row>
    <row r="40" spans="1:9">
      <c r="A40" s="1185"/>
      <c r="B40" s="1186"/>
      <c r="C40" s="1187"/>
      <c r="D40" s="1188"/>
      <c r="E40" s="1189"/>
      <c r="F40" s="1190"/>
      <c r="I40" s="1173"/>
    </row>
    <row r="41" spans="1:9">
      <c r="A41" s="1185"/>
      <c r="B41" s="1186"/>
      <c r="C41" s="1187"/>
      <c r="D41" s="1188"/>
      <c r="E41" s="1189"/>
      <c r="F41" s="1190"/>
      <c r="I41" s="1173"/>
    </row>
    <row r="42" spans="1:9">
      <c r="A42" s="1185"/>
      <c r="B42" s="1186"/>
      <c r="C42" s="1187"/>
      <c r="D42" s="1188"/>
      <c r="E42" s="1189"/>
      <c r="F42" s="1190"/>
      <c r="I42" s="1173"/>
    </row>
    <row r="43" spans="1:9">
      <c r="A43" s="1185"/>
      <c r="B43" s="1186"/>
      <c r="C43" s="1187"/>
      <c r="D43" s="1188"/>
      <c r="E43" s="1189"/>
      <c r="F43" s="1190"/>
      <c r="I43" s="1173"/>
    </row>
    <row r="44" spans="1:9">
      <c r="A44" s="1185"/>
      <c r="B44" s="1186"/>
      <c r="C44" s="1187"/>
      <c r="D44" s="1188"/>
      <c r="E44" s="1189"/>
      <c r="F44" s="1190"/>
      <c r="I44" s="1173"/>
    </row>
    <row r="45" spans="1:9">
      <c r="A45" s="1185"/>
      <c r="B45" s="1186"/>
      <c r="C45" s="1187"/>
      <c r="D45" s="1188"/>
      <c r="E45" s="1189"/>
      <c r="F45" s="1190"/>
      <c r="I45" s="1173"/>
    </row>
    <row r="46" spans="1:9">
      <c r="A46" s="1185"/>
      <c r="B46" s="1186"/>
      <c r="C46" s="1187"/>
      <c r="D46" s="1188"/>
      <c r="E46" s="1189"/>
      <c r="F46" s="1190"/>
      <c r="I46" s="1173"/>
    </row>
    <row r="47" spans="1:9" ht="17.25" customHeight="1" thickBot="1">
      <c r="A47" s="1185"/>
      <c r="B47" s="1186"/>
      <c r="C47" s="1187"/>
      <c r="D47" s="1188"/>
      <c r="E47" s="1189"/>
      <c r="F47" s="1190"/>
      <c r="I47" s="1173"/>
    </row>
    <row r="48" spans="1:9" ht="16" thickTop="1">
      <c r="A48" s="1193"/>
      <c r="B48" s="1194"/>
      <c r="C48" s="1195"/>
      <c r="D48" s="1195"/>
      <c r="E48" s="1196"/>
      <c r="F48" s="1197"/>
      <c r="I48" s="571"/>
    </row>
    <row r="49" spans="1:10" ht="12.75" customHeight="1">
      <c r="A49" s="1575" t="s">
        <v>846</v>
      </c>
      <c r="B49" s="1576"/>
      <c r="C49" s="1576"/>
      <c r="D49" s="1576"/>
      <c r="E49" s="1198"/>
      <c r="F49" s="1199">
        <f>SUM(F5:F48)</f>
        <v>0</v>
      </c>
      <c r="I49" s="1200"/>
    </row>
    <row r="50" spans="1:10" ht="16" thickBot="1">
      <c r="A50" s="645"/>
      <c r="B50" s="1201"/>
      <c r="C50" s="1202"/>
      <c r="D50" s="1202"/>
      <c r="E50" s="1203"/>
      <c r="F50" s="1204"/>
      <c r="I50" s="571"/>
    </row>
    <row r="51" spans="1:10" ht="16" thickTop="1">
      <c r="A51" s="1193"/>
      <c r="B51" s="1205"/>
      <c r="C51" s="1195"/>
      <c r="D51" s="1195"/>
      <c r="E51" s="1206"/>
      <c r="F51" s="1207"/>
      <c r="I51" s="571"/>
    </row>
    <row r="52" spans="1:10">
      <c r="A52" s="1577" t="str">
        <f>A2</f>
        <v xml:space="preserve">BILL No. 5 - DAYWORKS </v>
      </c>
      <c r="B52" s="1578"/>
      <c r="C52" s="1578"/>
      <c r="D52" s="1578"/>
      <c r="E52" s="1578"/>
      <c r="F52" s="1579"/>
      <c r="I52" s="570"/>
    </row>
    <row r="53" spans="1:10" ht="16" thickBot="1">
      <c r="A53" s="1208"/>
      <c r="B53" s="1209"/>
      <c r="C53" s="1209"/>
      <c r="D53" s="1210"/>
      <c r="E53" s="1210"/>
      <c r="F53" s="1211"/>
      <c r="I53" s="1210"/>
    </row>
    <row r="54" spans="1:10" s="570" customFormat="1" ht="29.25" customHeight="1" thickTop="1" thickBot="1">
      <c r="A54" s="1161" t="s">
        <v>4</v>
      </c>
      <c r="B54" s="1162" t="s">
        <v>5</v>
      </c>
      <c r="C54" s="1162" t="s">
        <v>6</v>
      </c>
      <c r="D54" s="1163" t="s">
        <v>1</v>
      </c>
      <c r="E54" s="1164" t="s">
        <v>7</v>
      </c>
      <c r="F54" s="1165" t="s">
        <v>829</v>
      </c>
      <c r="I54" s="1166"/>
      <c r="J54" s="572"/>
    </row>
    <row r="55" spans="1:10" ht="16" thickTop="1">
      <c r="A55" s="1167"/>
      <c r="B55" s="1168"/>
      <c r="C55" s="1169"/>
      <c r="D55" s="1170"/>
      <c r="E55" s="1171"/>
      <c r="F55" s="1172"/>
      <c r="I55" s="1173"/>
    </row>
    <row r="56" spans="1:10">
      <c r="A56" s="1174">
        <v>1.2</v>
      </c>
      <c r="B56" s="1175" t="s">
        <v>847</v>
      </c>
      <c r="C56" s="1212"/>
      <c r="D56" s="1213"/>
      <c r="E56" s="1177"/>
      <c r="F56" s="1184"/>
      <c r="I56" s="1214"/>
    </row>
    <row r="57" spans="1:10">
      <c r="A57" s="1185"/>
      <c r="B57" s="1186"/>
      <c r="C57" s="1187"/>
      <c r="D57" s="1188"/>
      <c r="E57" s="1189"/>
      <c r="F57" s="1190"/>
      <c r="I57" s="1173"/>
    </row>
    <row r="58" spans="1:10" ht="77.5">
      <c r="A58" s="1215"/>
      <c r="B58" s="1216" t="s">
        <v>848</v>
      </c>
      <c r="C58" s="1212"/>
      <c r="D58" s="1213"/>
      <c r="E58" s="1217"/>
      <c r="F58" s="1184"/>
      <c r="I58" s="1214"/>
    </row>
    <row r="59" spans="1:10">
      <c r="A59" s="1185"/>
      <c r="B59" s="1186"/>
      <c r="C59" s="1187"/>
      <c r="D59" s="1188"/>
      <c r="E59" s="1189"/>
      <c r="F59" s="1190"/>
      <c r="I59" s="1173"/>
    </row>
    <row r="60" spans="1:10">
      <c r="A60" s="1185" t="s">
        <v>89</v>
      </c>
      <c r="B60" s="1186" t="s">
        <v>849</v>
      </c>
      <c r="C60" s="1187" t="s">
        <v>850</v>
      </c>
      <c r="D60" s="1188">
        <v>150</v>
      </c>
      <c r="E60" s="1218"/>
      <c r="F60" s="1190">
        <f>+E60*D60</f>
        <v>0</v>
      </c>
      <c r="I60" s="1173"/>
    </row>
    <row r="61" spans="1:10">
      <c r="A61" s="1185"/>
      <c r="B61" s="1186"/>
      <c r="C61" s="1187"/>
      <c r="D61" s="1188"/>
      <c r="E61" s="1189"/>
      <c r="F61" s="1190"/>
      <c r="I61" s="1173"/>
    </row>
    <row r="62" spans="1:10">
      <c r="A62" s="1185" t="s">
        <v>90</v>
      </c>
      <c r="B62" s="1186" t="s">
        <v>851</v>
      </c>
      <c r="C62" s="1187" t="s">
        <v>13</v>
      </c>
      <c r="D62" s="1188">
        <v>500</v>
      </c>
      <c r="E62" s="1218"/>
      <c r="F62" s="1190">
        <f>+E62*D62</f>
        <v>0</v>
      </c>
      <c r="I62" s="1173"/>
    </row>
    <row r="63" spans="1:10">
      <c r="A63" s="1185"/>
      <c r="B63" s="1186"/>
      <c r="C63" s="1187"/>
      <c r="D63" s="1188"/>
      <c r="E63" s="1189"/>
      <c r="F63" s="1190"/>
      <c r="I63" s="1173"/>
    </row>
    <row r="64" spans="1:10">
      <c r="A64" s="1185" t="s">
        <v>91</v>
      </c>
      <c r="B64" s="1186" t="s">
        <v>852</v>
      </c>
      <c r="C64" s="1187" t="s">
        <v>850</v>
      </c>
      <c r="D64" s="1188">
        <v>150</v>
      </c>
      <c r="E64" s="1218"/>
      <c r="F64" s="1190">
        <f>+E64*D64</f>
        <v>0</v>
      </c>
      <c r="I64" s="1173"/>
    </row>
    <row r="65" spans="1:9">
      <c r="A65" s="1185"/>
      <c r="B65" s="1186"/>
      <c r="C65" s="1187"/>
      <c r="D65" s="1188"/>
      <c r="E65" s="1189"/>
      <c r="F65" s="1190"/>
      <c r="I65" s="1173"/>
    </row>
    <row r="66" spans="1:9">
      <c r="A66" s="1185" t="s">
        <v>93</v>
      </c>
      <c r="B66" s="1186" t="s">
        <v>853</v>
      </c>
      <c r="C66" s="1187" t="s">
        <v>850</v>
      </c>
      <c r="D66" s="1188">
        <v>150</v>
      </c>
      <c r="E66" s="1218"/>
      <c r="F66" s="1190">
        <f>+E66*D66</f>
        <v>0</v>
      </c>
      <c r="I66" s="1173"/>
    </row>
    <row r="67" spans="1:9">
      <c r="A67" s="1185"/>
      <c r="B67" s="1186"/>
      <c r="C67" s="1187"/>
      <c r="D67" s="1188"/>
      <c r="E67" s="1189"/>
      <c r="F67" s="1190"/>
      <c r="I67" s="1173"/>
    </row>
    <row r="68" spans="1:9" ht="17.5">
      <c r="A68" s="1185" t="s">
        <v>94</v>
      </c>
      <c r="B68" s="1186" t="s">
        <v>854</v>
      </c>
      <c r="C68" s="1187" t="s">
        <v>1477</v>
      </c>
      <c r="D68" s="1188">
        <v>150</v>
      </c>
      <c r="E68" s="1218"/>
      <c r="F68" s="1190">
        <f>+E68*D68</f>
        <v>0</v>
      </c>
      <c r="I68" s="1173"/>
    </row>
    <row r="69" spans="1:9">
      <c r="A69" s="1185"/>
      <c r="B69" s="1186"/>
      <c r="C69" s="1187"/>
      <c r="D69" s="1188"/>
      <c r="E69" s="1189"/>
      <c r="F69" s="1190"/>
      <c r="I69" s="1173"/>
    </row>
    <row r="70" spans="1:9" ht="17.5">
      <c r="A70" s="1185" t="s">
        <v>96</v>
      </c>
      <c r="B70" s="1186" t="s">
        <v>855</v>
      </c>
      <c r="C70" s="1187" t="s">
        <v>1477</v>
      </c>
      <c r="D70" s="1188">
        <v>200</v>
      </c>
      <c r="E70" s="1218"/>
      <c r="F70" s="1190">
        <f>+E70*D70</f>
        <v>0</v>
      </c>
      <c r="I70" s="1173"/>
    </row>
    <row r="71" spans="1:9">
      <c r="A71" s="1185"/>
      <c r="B71" s="1186"/>
      <c r="C71" s="1187"/>
      <c r="D71" s="1188"/>
      <c r="E71" s="1189"/>
      <c r="F71" s="1190"/>
      <c r="I71" s="1173"/>
    </row>
    <row r="72" spans="1:9" ht="17.5">
      <c r="A72" s="1185" t="s">
        <v>97</v>
      </c>
      <c r="B72" s="1186" t="s">
        <v>856</v>
      </c>
      <c r="C72" s="1187" t="s">
        <v>1477</v>
      </c>
      <c r="D72" s="1188">
        <v>500</v>
      </c>
      <c r="E72" s="1218"/>
      <c r="F72" s="1190">
        <f>+E72*D72</f>
        <v>0</v>
      </c>
      <c r="I72" s="1173"/>
    </row>
    <row r="73" spans="1:9">
      <c r="A73" s="1185"/>
      <c r="B73" s="1186"/>
      <c r="C73" s="1187"/>
      <c r="D73" s="1188"/>
      <c r="E73" s="1189"/>
      <c r="F73" s="1190"/>
      <c r="I73" s="1173"/>
    </row>
    <row r="74" spans="1:9">
      <c r="A74" s="1185" t="s">
        <v>98</v>
      </c>
      <c r="B74" s="1186" t="s">
        <v>857</v>
      </c>
      <c r="C74" s="1187" t="s">
        <v>850</v>
      </c>
      <c r="D74" s="1188">
        <v>25</v>
      </c>
      <c r="E74" s="1218"/>
      <c r="F74" s="1190">
        <f>+E74*D74</f>
        <v>0</v>
      </c>
      <c r="I74" s="1173"/>
    </row>
    <row r="75" spans="1:9" ht="9.65" customHeight="1">
      <c r="A75" s="1185"/>
      <c r="B75" s="1186"/>
      <c r="C75" s="1187"/>
      <c r="D75" s="1188"/>
      <c r="E75" s="1189"/>
      <c r="F75" s="1190"/>
      <c r="I75" s="1173"/>
    </row>
    <row r="76" spans="1:9">
      <c r="A76" s="1185" t="s">
        <v>858</v>
      </c>
      <c r="B76" s="1186" t="s">
        <v>859</v>
      </c>
      <c r="C76" s="1187" t="s">
        <v>35</v>
      </c>
      <c r="D76" s="1188">
        <v>50</v>
      </c>
      <c r="E76" s="1218"/>
      <c r="F76" s="1190">
        <f>+E76*D76</f>
        <v>0</v>
      </c>
      <c r="I76" s="1173"/>
    </row>
    <row r="77" spans="1:9" ht="8.4" customHeight="1">
      <c r="A77" s="1185"/>
      <c r="B77" s="1186"/>
      <c r="C77" s="1187"/>
      <c r="D77" s="1188"/>
      <c r="E77" s="1189"/>
      <c r="F77" s="1190"/>
      <c r="I77" s="1173"/>
    </row>
    <row r="78" spans="1:9">
      <c r="A78" s="1219" t="s">
        <v>860</v>
      </c>
      <c r="B78" s="1186" t="s">
        <v>861</v>
      </c>
      <c r="C78" s="1187" t="s">
        <v>35</v>
      </c>
      <c r="D78" s="1188">
        <v>750</v>
      </c>
      <c r="E78" s="1218"/>
      <c r="F78" s="1190">
        <f>+E78*D78</f>
        <v>0</v>
      </c>
      <c r="I78" s="1173"/>
    </row>
    <row r="79" spans="1:9" ht="8.4" customHeight="1">
      <c r="A79" s="1185"/>
      <c r="B79" s="1186"/>
      <c r="C79" s="1187"/>
      <c r="D79" s="1188"/>
      <c r="E79" s="1189"/>
      <c r="F79" s="1190"/>
      <c r="I79" s="1173"/>
    </row>
    <row r="80" spans="1:9">
      <c r="A80" s="1185" t="s">
        <v>862</v>
      </c>
      <c r="B80" s="1186" t="s">
        <v>863</v>
      </c>
      <c r="C80" s="1187" t="s">
        <v>35</v>
      </c>
      <c r="D80" s="1188">
        <v>100</v>
      </c>
      <c r="E80" s="1218"/>
      <c r="F80" s="1190">
        <f>+E80*D80</f>
        <v>0</v>
      </c>
      <c r="I80" s="1173"/>
    </row>
    <row r="81" spans="1:9" ht="7.75" customHeight="1">
      <c r="A81" s="1185"/>
      <c r="B81" s="1186"/>
      <c r="C81" s="1187"/>
      <c r="D81" s="1188"/>
      <c r="E81" s="1189"/>
      <c r="F81" s="1190"/>
      <c r="I81" s="1173"/>
    </row>
    <row r="82" spans="1:9" ht="17.5">
      <c r="A82" s="1220" t="s">
        <v>864</v>
      </c>
      <c r="B82" s="1221" t="s">
        <v>17</v>
      </c>
      <c r="C82" s="1187" t="s">
        <v>1477</v>
      </c>
      <c r="D82" s="1188">
        <v>500</v>
      </c>
      <c r="E82" s="1218"/>
      <c r="F82" s="1190">
        <f>+E82*D82</f>
        <v>0</v>
      </c>
      <c r="I82" s="1222"/>
    </row>
    <row r="83" spans="1:9" ht="8.4" customHeight="1">
      <c r="A83" s="1185"/>
      <c r="B83" s="1186"/>
      <c r="C83" s="1187"/>
      <c r="D83" s="1188"/>
      <c r="E83" s="1189"/>
      <c r="F83" s="1190"/>
      <c r="I83" s="1173"/>
    </row>
    <row r="84" spans="1:9">
      <c r="A84" s="1220" t="s">
        <v>865</v>
      </c>
      <c r="B84" s="1221" t="s">
        <v>866</v>
      </c>
      <c r="C84" s="1223" t="s">
        <v>18</v>
      </c>
      <c r="D84" s="1188">
        <v>750</v>
      </c>
      <c r="E84" s="1218"/>
      <c r="F84" s="1190">
        <f>+E84*D84</f>
        <v>0</v>
      </c>
      <c r="I84" s="1222"/>
    </row>
    <row r="85" spans="1:9" ht="7.75" customHeight="1">
      <c r="A85" s="1185"/>
      <c r="B85" s="1186"/>
      <c r="C85" s="1187"/>
      <c r="D85" s="1188"/>
      <c r="E85" s="1189"/>
      <c r="F85" s="1190"/>
      <c r="I85" s="1173"/>
    </row>
    <row r="86" spans="1:9">
      <c r="A86" s="1220" t="s">
        <v>867</v>
      </c>
      <c r="B86" s="1221" t="s">
        <v>868</v>
      </c>
      <c r="C86" s="1223" t="s">
        <v>18</v>
      </c>
      <c r="D86" s="1188">
        <v>500</v>
      </c>
      <c r="E86" s="1218"/>
      <c r="F86" s="1190">
        <f>+E86*D86</f>
        <v>0</v>
      </c>
      <c r="I86" s="1222"/>
    </row>
    <row r="87" spans="1:9" ht="8.4" customHeight="1">
      <c r="A87" s="1185"/>
      <c r="B87" s="1186"/>
      <c r="C87" s="1187"/>
      <c r="D87" s="1188"/>
      <c r="E87" s="1189"/>
      <c r="F87" s="1190"/>
      <c r="I87" s="1173"/>
    </row>
    <row r="88" spans="1:9">
      <c r="A88" s="1220" t="s">
        <v>869</v>
      </c>
      <c r="B88" s="1221" t="s">
        <v>870</v>
      </c>
      <c r="C88" s="1223" t="s">
        <v>18</v>
      </c>
      <c r="D88" s="1188">
        <v>200</v>
      </c>
      <c r="E88" s="1218"/>
      <c r="F88" s="1190">
        <f>+E88*D88</f>
        <v>0</v>
      </c>
      <c r="I88" s="1222"/>
    </row>
    <row r="89" spans="1:9" ht="6.65" customHeight="1">
      <c r="A89" s="1185"/>
      <c r="B89" s="1186"/>
      <c r="C89" s="1187"/>
      <c r="D89" s="1188"/>
      <c r="E89" s="1189"/>
      <c r="F89" s="1190"/>
      <c r="I89" s="1173"/>
    </row>
    <row r="90" spans="1:9">
      <c r="A90" s="1220" t="s">
        <v>871</v>
      </c>
      <c r="B90" s="1221" t="s">
        <v>872</v>
      </c>
      <c r="C90" s="1223" t="s">
        <v>18</v>
      </c>
      <c r="D90" s="1188">
        <v>200</v>
      </c>
      <c r="E90" s="1218"/>
      <c r="F90" s="1190">
        <f>+E90*D90</f>
        <v>0</v>
      </c>
      <c r="I90" s="1222"/>
    </row>
    <row r="91" spans="1:9" ht="7.25" customHeight="1">
      <c r="A91" s="1185"/>
      <c r="B91" s="1186"/>
      <c r="C91" s="1187"/>
      <c r="D91" s="1188"/>
      <c r="E91" s="1189"/>
      <c r="F91" s="1190"/>
      <c r="I91" s="1173"/>
    </row>
    <row r="92" spans="1:9">
      <c r="A92" s="1220" t="s">
        <v>873</v>
      </c>
      <c r="B92" s="1221" t="s">
        <v>874</v>
      </c>
      <c r="C92" s="1223" t="s">
        <v>18</v>
      </c>
      <c r="D92" s="1188">
        <v>200</v>
      </c>
      <c r="E92" s="1218"/>
      <c r="F92" s="1190">
        <f>+E92*D92</f>
        <v>0</v>
      </c>
      <c r="I92" s="1222"/>
    </row>
    <row r="93" spans="1:9" ht="7.25" customHeight="1">
      <c r="A93" s="1185"/>
      <c r="B93" s="1186"/>
      <c r="C93" s="1187"/>
      <c r="D93" s="1188"/>
      <c r="E93" s="1189"/>
      <c r="F93" s="1190"/>
      <c r="I93" s="1173"/>
    </row>
    <row r="94" spans="1:9">
      <c r="A94" s="1220" t="s">
        <v>875</v>
      </c>
      <c r="B94" s="1221" t="s">
        <v>876</v>
      </c>
      <c r="C94" s="1223" t="s">
        <v>18</v>
      </c>
      <c r="D94" s="1188">
        <v>100</v>
      </c>
      <c r="E94" s="1218"/>
      <c r="F94" s="1190">
        <f>+E94*D94</f>
        <v>0</v>
      </c>
      <c r="I94" s="1222"/>
    </row>
    <row r="95" spans="1:9" ht="6" customHeight="1">
      <c r="A95" s="1185"/>
      <c r="B95" s="1186"/>
      <c r="C95" s="1187"/>
      <c r="D95" s="1188"/>
      <c r="E95" s="1189"/>
      <c r="F95" s="1190"/>
      <c r="I95" s="1173"/>
    </row>
    <row r="96" spans="1:9" ht="17.5">
      <c r="A96" s="1224" t="s">
        <v>877</v>
      </c>
      <c r="B96" s="1186" t="s">
        <v>878</v>
      </c>
      <c r="C96" s="1187" t="s">
        <v>1477</v>
      </c>
      <c r="D96" s="1188">
        <v>200</v>
      </c>
      <c r="E96" s="1218"/>
      <c r="F96" s="1190">
        <f>+E96*D96</f>
        <v>0</v>
      </c>
      <c r="I96" s="1222"/>
    </row>
    <row r="97" spans="1:10" ht="8.4" customHeight="1">
      <c r="A97" s="1185"/>
      <c r="B97" s="1186"/>
      <c r="C97" s="1187"/>
      <c r="D97" s="1188"/>
      <c r="E97" s="1189"/>
      <c r="F97" s="1190"/>
      <c r="I97" s="1173"/>
    </row>
    <row r="98" spans="1:10" ht="17.5">
      <c r="A98" s="1224" t="s">
        <v>879</v>
      </c>
      <c r="B98" s="1186" t="s">
        <v>880</v>
      </c>
      <c r="C98" s="1187" t="s">
        <v>1477</v>
      </c>
      <c r="D98" s="1188">
        <v>250</v>
      </c>
      <c r="E98" s="1218"/>
      <c r="F98" s="1190">
        <f>+E98*D98</f>
        <v>0</v>
      </c>
      <c r="I98" s="1222"/>
    </row>
    <row r="99" spans="1:10">
      <c r="A99" s="1185"/>
      <c r="B99" s="1186"/>
      <c r="C99" s="1187"/>
      <c r="D99" s="1188"/>
      <c r="E99" s="1189"/>
      <c r="F99" s="1190"/>
      <c r="I99" s="1173"/>
    </row>
    <row r="100" spans="1:10">
      <c r="A100" s="1224"/>
      <c r="B100" s="1221"/>
      <c r="C100" s="1187"/>
      <c r="D100" s="1188"/>
      <c r="E100" s="1218"/>
      <c r="F100" s="1190"/>
      <c r="I100" s="1222"/>
    </row>
    <row r="101" spans="1:10">
      <c r="A101" s="1185"/>
      <c r="B101" s="1186"/>
      <c r="C101" s="1187"/>
      <c r="D101" s="1188"/>
      <c r="E101" s="1189"/>
      <c r="F101" s="1190"/>
      <c r="I101" s="1173"/>
    </row>
    <row r="102" spans="1:10">
      <c r="A102" s="1185"/>
      <c r="B102" s="1186"/>
      <c r="C102" s="1187"/>
      <c r="D102" s="1188"/>
      <c r="E102" s="1189"/>
      <c r="F102" s="1190"/>
      <c r="I102" s="1173"/>
    </row>
    <row r="103" spans="1:10" ht="16" thickBot="1">
      <c r="A103" s="1185"/>
      <c r="B103" s="1186"/>
      <c r="C103" s="1187"/>
      <c r="D103" s="1188"/>
      <c r="E103" s="1189"/>
      <c r="F103" s="1190"/>
      <c r="I103" s="1173"/>
    </row>
    <row r="104" spans="1:10" ht="16" thickTop="1">
      <c r="A104" s="1193"/>
      <c r="B104" s="1194"/>
      <c r="C104" s="1195"/>
      <c r="D104" s="1195"/>
      <c r="E104" s="1196"/>
      <c r="F104" s="1197"/>
      <c r="I104" s="571"/>
    </row>
    <row r="105" spans="1:10" ht="12.75" customHeight="1">
      <c r="A105" s="1575" t="s">
        <v>881</v>
      </c>
      <c r="B105" s="1576"/>
      <c r="C105" s="1576"/>
      <c r="D105" s="1576"/>
      <c r="E105" s="1225"/>
      <c r="F105" s="1199">
        <f>SUM(F55:F104)</f>
        <v>0</v>
      </c>
      <c r="I105" s="1226"/>
    </row>
    <row r="106" spans="1:10" ht="16" thickBot="1">
      <c r="A106" s="645"/>
      <c r="B106" s="1201"/>
      <c r="C106" s="1202"/>
      <c r="D106" s="1202"/>
      <c r="E106" s="1203"/>
      <c r="F106" s="1204"/>
      <c r="I106" s="571"/>
    </row>
    <row r="107" spans="1:10" ht="16" thickTop="1">
      <c r="A107" s="1193"/>
      <c r="B107" s="1205"/>
      <c r="C107" s="1195"/>
      <c r="D107" s="1195"/>
      <c r="E107" s="1206"/>
      <c r="F107" s="1207"/>
      <c r="I107" s="571"/>
    </row>
    <row r="108" spans="1:10" ht="12.75" customHeight="1">
      <c r="A108" s="1577" t="str">
        <f>A52</f>
        <v xml:space="preserve">BILL No. 5 - DAYWORKS </v>
      </c>
      <c r="B108" s="1578"/>
      <c r="C108" s="1578"/>
      <c r="D108" s="1578"/>
      <c r="E108" s="1578"/>
      <c r="F108" s="1579"/>
      <c r="I108" s="570"/>
    </row>
    <row r="109" spans="1:10" ht="16" thickBot="1">
      <c r="A109" s="1208"/>
      <c r="B109" s="1209"/>
      <c r="C109" s="1209"/>
      <c r="D109" s="1210"/>
      <c r="E109" s="1210"/>
      <c r="F109" s="1211"/>
      <c r="I109" s="1210"/>
    </row>
    <row r="110" spans="1:10" s="570" customFormat="1" ht="29.25" customHeight="1" thickTop="1" thickBot="1">
      <c r="A110" s="1161" t="s">
        <v>4</v>
      </c>
      <c r="B110" s="1162" t="s">
        <v>5</v>
      </c>
      <c r="C110" s="1162" t="s">
        <v>6</v>
      </c>
      <c r="D110" s="1163" t="s">
        <v>1</v>
      </c>
      <c r="E110" s="1164" t="s">
        <v>7</v>
      </c>
      <c r="F110" s="1165" t="s">
        <v>829</v>
      </c>
      <c r="I110" s="1166"/>
      <c r="J110" s="572"/>
    </row>
    <row r="111" spans="1:10" ht="16" thickTop="1">
      <c r="A111" s="1167"/>
      <c r="B111" s="1186"/>
      <c r="C111" s="1187"/>
      <c r="D111" s="1188"/>
      <c r="E111" s="1189"/>
      <c r="F111" s="1190"/>
      <c r="I111" s="1173"/>
    </row>
    <row r="112" spans="1:10">
      <c r="A112" s="1227">
        <v>1.3</v>
      </c>
      <c r="B112" s="1228" t="s">
        <v>882</v>
      </c>
      <c r="C112" s="1187"/>
      <c r="D112" s="1188"/>
      <c r="E112" s="1189"/>
      <c r="F112" s="1190"/>
      <c r="I112" s="1173"/>
    </row>
    <row r="113" spans="1:9">
      <c r="A113" s="1227"/>
      <c r="B113" s="1228"/>
      <c r="C113" s="1187"/>
      <c r="D113" s="1188"/>
      <c r="E113" s="1189"/>
      <c r="F113" s="1190"/>
      <c r="I113" s="1173"/>
    </row>
    <row r="114" spans="1:9" ht="31">
      <c r="A114" s="1227"/>
      <c r="B114" s="1186" t="s">
        <v>883</v>
      </c>
      <c r="C114" s="1187"/>
      <c r="D114" s="1188"/>
      <c r="E114" s="1189"/>
      <c r="F114" s="1190"/>
      <c r="I114" s="1173"/>
    </row>
    <row r="115" spans="1:9">
      <c r="A115" s="1229" t="s">
        <v>101</v>
      </c>
      <c r="B115" s="1230" t="s">
        <v>884</v>
      </c>
      <c r="C115" s="1231" t="s">
        <v>730</v>
      </c>
      <c r="D115" s="1231">
        <v>50</v>
      </c>
      <c r="E115" s="1232"/>
      <c r="F115" s="1233">
        <f>+E115*D115</f>
        <v>0</v>
      </c>
      <c r="I115" s="1234"/>
    </row>
    <row r="116" spans="1:9">
      <c r="A116" s="1185"/>
      <c r="B116" s="1186"/>
      <c r="C116" s="1187"/>
      <c r="D116" s="1231"/>
      <c r="E116" s="1189"/>
      <c r="F116" s="1190"/>
      <c r="I116" s="1173"/>
    </row>
    <row r="117" spans="1:9">
      <c r="A117" s="1185" t="s">
        <v>103</v>
      </c>
      <c r="B117" s="1186" t="s">
        <v>885</v>
      </c>
      <c r="C117" s="1187" t="s">
        <v>730</v>
      </c>
      <c r="D117" s="1231">
        <v>200</v>
      </c>
      <c r="E117" s="1189"/>
      <c r="F117" s="1190">
        <f>+E117*D117</f>
        <v>0</v>
      </c>
      <c r="I117" s="1173"/>
    </row>
    <row r="118" spans="1:9">
      <c r="A118" s="1185"/>
      <c r="B118" s="1186"/>
      <c r="C118" s="1187"/>
      <c r="D118" s="1231"/>
      <c r="E118" s="1189"/>
      <c r="F118" s="1190"/>
      <c r="I118" s="1173"/>
    </row>
    <row r="119" spans="1:9">
      <c r="A119" s="1185" t="s">
        <v>105</v>
      </c>
      <c r="B119" s="1186" t="s">
        <v>886</v>
      </c>
      <c r="C119" s="1187" t="s">
        <v>730</v>
      </c>
      <c r="D119" s="1231">
        <v>200</v>
      </c>
      <c r="E119" s="1189"/>
      <c r="F119" s="1190">
        <f>+E119*D119</f>
        <v>0</v>
      </c>
      <c r="I119" s="1173"/>
    </row>
    <row r="120" spans="1:9">
      <c r="A120" s="1185"/>
      <c r="B120" s="1186"/>
      <c r="C120" s="1187"/>
      <c r="D120" s="1231"/>
      <c r="E120" s="1189"/>
      <c r="F120" s="1190"/>
      <c r="I120" s="1173"/>
    </row>
    <row r="121" spans="1:9">
      <c r="A121" s="1219" t="s">
        <v>107</v>
      </c>
      <c r="B121" s="1186" t="s">
        <v>887</v>
      </c>
      <c r="C121" s="1187" t="s">
        <v>730</v>
      </c>
      <c r="D121" s="1231">
        <v>200</v>
      </c>
      <c r="E121" s="1189"/>
      <c r="F121" s="1190">
        <f>+E121*D121</f>
        <v>0</v>
      </c>
      <c r="I121" s="1173"/>
    </row>
    <row r="122" spans="1:9">
      <c r="A122" s="1185"/>
      <c r="B122" s="1186"/>
      <c r="C122" s="1187"/>
      <c r="D122" s="1231"/>
      <c r="E122" s="1189"/>
      <c r="F122" s="1190"/>
      <c r="I122" s="1173"/>
    </row>
    <row r="123" spans="1:9">
      <c r="A123" s="1185" t="s">
        <v>109</v>
      </c>
      <c r="B123" s="1186" t="s">
        <v>888</v>
      </c>
      <c r="C123" s="1187" t="s">
        <v>730</v>
      </c>
      <c r="D123" s="1231">
        <v>250</v>
      </c>
      <c r="E123" s="1189"/>
      <c r="F123" s="1190">
        <f>+E123*D123</f>
        <v>0</v>
      </c>
      <c r="I123" s="1173"/>
    </row>
    <row r="124" spans="1:9">
      <c r="A124" s="1185"/>
      <c r="B124" s="1186"/>
      <c r="C124" s="1187"/>
      <c r="D124" s="1231"/>
      <c r="E124" s="1189"/>
      <c r="F124" s="1190"/>
      <c r="I124" s="1173"/>
    </row>
    <row r="125" spans="1:9">
      <c r="A125" s="1185" t="s">
        <v>111</v>
      </c>
      <c r="B125" s="1186" t="s">
        <v>889</v>
      </c>
      <c r="C125" s="1187" t="s">
        <v>730</v>
      </c>
      <c r="D125" s="1231">
        <v>150</v>
      </c>
      <c r="E125" s="1189"/>
      <c r="F125" s="1190">
        <f>+E125*D125</f>
        <v>0</v>
      </c>
      <c r="I125" s="1173"/>
    </row>
    <row r="126" spans="1:9">
      <c r="A126" s="1185"/>
      <c r="B126" s="1186"/>
      <c r="C126" s="1187"/>
      <c r="D126" s="1231"/>
      <c r="E126" s="1189"/>
      <c r="F126" s="1190"/>
      <c r="I126" s="1173"/>
    </row>
    <row r="127" spans="1:9">
      <c r="A127" s="1185" t="s">
        <v>113</v>
      </c>
      <c r="B127" s="1186" t="s">
        <v>890</v>
      </c>
      <c r="C127" s="1187" t="s">
        <v>730</v>
      </c>
      <c r="D127" s="1231">
        <v>150</v>
      </c>
      <c r="E127" s="1189"/>
      <c r="F127" s="1190">
        <f>+E127*D127</f>
        <v>0</v>
      </c>
      <c r="I127" s="1173"/>
    </row>
    <row r="128" spans="1:9">
      <c r="A128" s="1185"/>
      <c r="B128" s="1186"/>
      <c r="C128" s="1187"/>
      <c r="D128" s="1231"/>
      <c r="E128" s="1189"/>
      <c r="F128" s="1190"/>
      <c r="I128" s="1173"/>
    </row>
    <row r="129" spans="1:9">
      <c r="A129" s="1185" t="s">
        <v>115</v>
      </c>
      <c r="B129" s="1186" t="s">
        <v>891</v>
      </c>
      <c r="C129" s="1187" t="s">
        <v>730</v>
      </c>
      <c r="D129" s="1231">
        <v>150</v>
      </c>
      <c r="E129" s="1189"/>
      <c r="F129" s="1190">
        <f>+E129*D129</f>
        <v>0</v>
      </c>
      <c r="I129" s="1173"/>
    </row>
    <row r="130" spans="1:9">
      <c r="A130" s="1185"/>
      <c r="B130" s="1186"/>
      <c r="C130" s="1187"/>
      <c r="D130" s="1231"/>
      <c r="E130" s="1189"/>
      <c r="F130" s="1190"/>
      <c r="I130" s="1173"/>
    </row>
    <row r="131" spans="1:9">
      <c r="A131" s="1185" t="s">
        <v>117</v>
      </c>
      <c r="B131" s="1186" t="s">
        <v>892</v>
      </c>
      <c r="C131" s="1187" t="s">
        <v>730</v>
      </c>
      <c r="D131" s="1231">
        <v>300</v>
      </c>
      <c r="E131" s="1189"/>
      <c r="F131" s="1190">
        <f>+E131*D131</f>
        <v>0</v>
      </c>
      <c r="I131" s="1173"/>
    </row>
    <row r="132" spans="1:9">
      <c r="A132" s="1185"/>
      <c r="B132" s="1186"/>
      <c r="C132" s="1187"/>
      <c r="D132" s="1231"/>
      <c r="E132" s="1189"/>
      <c r="F132" s="1190"/>
      <c r="I132" s="1173"/>
    </row>
    <row r="133" spans="1:9">
      <c r="A133" s="1220" t="s">
        <v>243</v>
      </c>
      <c r="B133" s="1186" t="s">
        <v>893</v>
      </c>
      <c r="C133" s="1187" t="s">
        <v>730</v>
      </c>
      <c r="D133" s="1231">
        <v>100</v>
      </c>
      <c r="E133" s="1189"/>
      <c r="F133" s="1190">
        <f>+E133*D133</f>
        <v>0</v>
      </c>
      <c r="I133" s="1173"/>
    </row>
    <row r="134" spans="1:9">
      <c r="A134" s="1185"/>
      <c r="B134" s="1186"/>
      <c r="C134" s="1187"/>
      <c r="D134" s="1231"/>
      <c r="E134" s="1189"/>
      <c r="F134" s="1190"/>
      <c r="I134" s="1173"/>
    </row>
    <row r="135" spans="1:9">
      <c r="A135" s="1220" t="s">
        <v>244</v>
      </c>
      <c r="B135" s="1221" t="s">
        <v>894</v>
      </c>
      <c r="C135" s="1187" t="s">
        <v>730</v>
      </c>
      <c r="D135" s="1231">
        <v>150</v>
      </c>
      <c r="E135" s="1189"/>
      <c r="F135" s="1190">
        <f>+E135*D135</f>
        <v>0</v>
      </c>
      <c r="I135" s="1173"/>
    </row>
    <row r="136" spans="1:9">
      <c r="A136" s="1185"/>
      <c r="B136" s="1186"/>
      <c r="C136" s="1187"/>
      <c r="D136" s="1231"/>
      <c r="E136" s="1189"/>
      <c r="F136" s="1190"/>
      <c r="I136" s="1173"/>
    </row>
    <row r="137" spans="1:9">
      <c r="A137" s="1220" t="s">
        <v>120</v>
      </c>
      <c r="B137" s="1221" t="s">
        <v>895</v>
      </c>
      <c r="C137" s="1187" t="s">
        <v>730</v>
      </c>
      <c r="D137" s="1231">
        <v>150</v>
      </c>
      <c r="E137" s="1189"/>
      <c r="F137" s="1190">
        <f>+E137*D137</f>
        <v>0</v>
      </c>
      <c r="I137" s="1173"/>
    </row>
    <row r="138" spans="1:9">
      <c r="A138" s="1185"/>
      <c r="B138" s="1186"/>
      <c r="C138" s="1187"/>
      <c r="D138" s="1231"/>
      <c r="E138" s="1189"/>
      <c r="F138" s="1190"/>
      <c r="I138" s="1173"/>
    </row>
    <row r="139" spans="1:9" ht="31">
      <c r="A139" s="1220" t="s">
        <v>121</v>
      </c>
      <c r="B139" s="1221" t="s">
        <v>896</v>
      </c>
      <c r="C139" s="1187" t="s">
        <v>730</v>
      </c>
      <c r="D139" s="1231">
        <v>150</v>
      </c>
      <c r="E139" s="1189"/>
      <c r="F139" s="1190">
        <f>+E139*D139</f>
        <v>0</v>
      </c>
      <c r="I139" s="1173"/>
    </row>
    <row r="140" spans="1:9">
      <c r="A140" s="1185"/>
      <c r="B140" s="1186"/>
      <c r="C140" s="1187"/>
      <c r="D140" s="1231"/>
      <c r="E140" s="1189"/>
      <c r="F140" s="1190"/>
      <c r="I140" s="1173"/>
    </row>
    <row r="141" spans="1:9">
      <c r="A141" s="1220" t="s">
        <v>123</v>
      </c>
      <c r="B141" s="1221" t="s">
        <v>897</v>
      </c>
      <c r="C141" s="1187" t="s">
        <v>730</v>
      </c>
      <c r="D141" s="1231">
        <v>150</v>
      </c>
      <c r="E141" s="1189"/>
      <c r="F141" s="1190">
        <f>+E141*D141</f>
        <v>0</v>
      </c>
      <c r="I141" s="1173"/>
    </row>
    <row r="142" spans="1:9">
      <c r="A142" s="1220"/>
      <c r="B142" s="1221"/>
      <c r="C142" s="1187"/>
      <c r="D142" s="1231"/>
      <c r="E142" s="1189"/>
      <c r="F142" s="1190"/>
      <c r="I142" s="1173"/>
    </row>
    <row r="143" spans="1:9">
      <c r="A143" s="1220"/>
      <c r="B143" s="1221"/>
      <c r="C143" s="1187"/>
      <c r="D143" s="1231"/>
      <c r="E143" s="1189"/>
      <c r="F143" s="1190"/>
      <c r="I143" s="1173"/>
    </row>
    <row r="144" spans="1:9">
      <c r="A144" s="1220"/>
      <c r="B144" s="1221"/>
      <c r="C144" s="1187"/>
      <c r="D144" s="1231"/>
      <c r="E144" s="1189"/>
      <c r="F144" s="1190"/>
      <c r="I144" s="1173"/>
    </row>
    <row r="145" spans="1:9">
      <c r="A145" s="1220"/>
      <c r="B145" s="1221"/>
      <c r="C145" s="1187"/>
      <c r="D145" s="1231"/>
      <c r="E145" s="1189"/>
      <c r="F145" s="1190"/>
      <c r="I145" s="1173"/>
    </row>
    <row r="146" spans="1:9">
      <c r="A146" s="1220"/>
      <c r="B146" s="1221"/>
      <c r="C146" s="1187"/>
      <c r="D146" s="1231"/>
      <c r="E146" s="1189"/>
      <c r="F146" s="1190"/>
      <c r="I146" s="1173"/>
    </row>
    <row r="147" spans="1:9">
      <c r="A147" s="1220"/>
      <c r="B147" s="1221"/>
      <c r="C147" s="1187"/>
      <c r="D147" s="1231"/>
      <c r="E147" s="1189"/>
      <c r="F147" s="1190"/>
      <c r="I147" s="1173"/>
    </row>
    <row r="148" spans="1:9">
      <c r="A148" s="1220"/>
      <c r="B148" s="1221"/>
      <c r="C148" s="1187"/>
      <c r="D148" s="1231"/>
      <c r="E148" s="1189"/>
      <c r="F148" s="1190"/>
      <c r="I148" s="1173"/>
    </row>
    <row r="149" spans="1:9">
      <c r="A149" s="1220"/>
      <c r="B149" s="1221"/>
      <c r="C149" s="1187"/>
      <c r="D149" s="1231"/>
      <c r="E149" s="1189"/>
      <c r="F149" s="1190"/>
      <c r="I149" s="1173"/>
    </row>
    <row r="150" spans="1:9">
      <c r="A150" s="1220"/>
      <c r="B150" s="1221"/>
      <c r="C150" s="1187"/>
      <c r="D150" s="1231"/>
      <c r="E150" s="1189"/>
      <c r="F150" s="1190"/>
      <c r="I150" s="1173"/>
    </row>
    <row r="151" spans="1:9">
      <c r="A151" s="1220"/>
      <c r="B151" s="1221"/>
      <c r="C151" s="1187"/>
      <c r="D151" s="1231"/>
      <c r="E151" s="1189"/>
      <c r="F151" s="1190"/>
      <c r="I151" s="1173"/>
    </row>
    <row r="152" spans="1:9">
      <c r="A152" s="1220"/>
      <c r="B152" s="1221"/>
      <c r="C152" s="1187"/>
      <c r="D152" s="1231"/>
      <c r="E152" s="1189"/>
      <c r="F152" s="1190"/>
      <c r="I152" s="1173"/>
    </row>
    <row r="153" spans="1:9">
      <c r="A153" s="1220"/>
      <c r="B153" s="1221"/>
      <c r="C153" s="1187"/>
      <c r="D153" s="1231"/>
      <c r="E153" s="1189"/>
      <c r="F153" s="1190"/>
      <c r="I153" s="1173"/>
    </row>
    <row r="154" spans="1:9">
      <c r="A154" s="1220"/>
      <c r="B154" s="1221"/>
      <c r="C154" s="1187"/>
      <c r="D154" s="1231"/>
      <c r="E154" s="1189"/>
      <c r="F154" s="1190"/>
      <c r="I154" s="1173"/>
    </row>
    <row r="155" spans="1:9" ht="16" thickBot="1">
      <c r="A155" s="1220"/>
      <c r="B155" s="1221"/>
      <c r="C155" s="1187"/>
      <c r="D155" s="1231"/>
      <c r="E155" s="1189"/>
      <c r="F155" s="1190"/>
      <c r="I155" s="1173"/>
    </row>
    <row r="156" spans="1:9" ht="16" thickTop="1">
      <c r="A156" s="1193"/>
      <c r="B156" s="1194"/>
      <c r="C156" s="1195"/>
      <c r="D156" s="1195"/>
      <c r="E156" s="1196"/>
      <c r="F156" s="1197"/>
      <c r="I156" s="571"/>
    </row>
    <row r="157" spans="1:9">
      <c r="A157" s="1575" t="s">
        <v>898</v>
      </c>
      <c r="B157" s="1576"/>
      <c r="C157" s="1226"/>
      <c r="D157" s="1226"/>
      <c r="E157" s="1225"/>
      <c r="F157" s="1235">
        <f>SUM(F111:F156)</f>
        <v>0</v>
      </c>
      <c r="I157" s="1226"/>
    </row>
    <row r="158" spans="1:9" ht="16" thickBot="1">
      <c r="A158" s="645"/>
      <c r="B158" s="1201"/>
      <c r="C158" s="1202"/>
      <c r="D158" s="1202"/>
      <c r="E158" s="1203"/>
      <c r="F158" s="1204"/>
      <c r="I158" s="571"/>
    </row>
    <row r="159" spans="1:9" ht="16" thickTop="1">
      <c r="A159" s="1193"/>
      <c r="B159" s="1205"/>
      <c r="C159" s="1195"/>
      <c r="D159" s="1195"/>
      <c r="E159" s="1206"/>
      <c r="F159" s="1207"/>
      <c r="I159" s="571"/>
    </row>
    <row r="160" spans="1:9" ht="12.75" customHeight="1">
      <c r="A160" s="1577" t="str">
        <f>A108</f>
        <v xml:space="preserve">BILL No. 5 - DAYWORKS </v>
      </c>
      <c r="B160" s="1578"/>
      <c r="C160" s="1578"/>
      <c r="D160" s="1578"/>
      <c r="E160" s="1578"/>
      <c r="F160" s="1579"/>
      <c r="I160" s="570"/>
    </row>
    <row r="161" spans="1:10" ht="16" thickBot="1">
      <c r="A161" s="1208"/>
      <c r="B161" s="1209"/>
      <c r="C161" s="1209"/>
      <c r="D161" s="1210"/>
      <c r="E161" s="1210"/>
      <c r="F161" s="1211"/>
      <c r="I161" s="1210"/>
    </row>
    <row r="162" spans="1:10" s="570" customFormat="1" ht="29.25" customHeight="1" thickTop="1" thickBot="1">
      <c r="A162" s="1161" t="s">
        <v>4</v>
      </c>
      <c r="B162" s="1162" t="s">
        <v>5</v>
      </c>
      <c r="C162" s="1162" t="s">
        <v>6</v>
      </c>
      <c r="D162" s="1163" t="s">
        <v>1</v>
      </c>
      <c r="E162" s="1164" t="s">
        <v>7</v>
      </c>
      <c r="F162" s="1165" t="s">
        <v>829</v>
      </c>
      <c r="I162" s="1166"/>
      <c r="J162" s="572"/>
    </row>
    <row r="163" spans="1:10" ht="16" thickTop="1">
      <c r="A163" s="1167"/>
      <c r="B163" s="1186"/>
      <c r="C163" s="1187"/>
      <c r="D163" s="1188"/>
      <c r="E163" s="1189"/>
      <c r="F163" s="1190"/>
      <c r="I163" s="1173"/>
    </row>
    <row r="164" spans="1:10">
      <c r="A164" s="1227"/>
      <c r="B164" s="1236" t="s">
        <v>828</v>
      </c>
      <c r="C164" s="1187"/>
      <c r="D164" s="1188"/>
      <c r="E164" s="1189"/>
      <c r="F164" s="1190"/>
      <c r="I164" s="1173"/>
    </row>
    <row r="165" spans="1:10">
      <c r="A165" s="1227"/>
      <c r="B165" s="1228"/>
      <c r="C165" s="1187"/>
      <c r="D165" s="1188"/>
      <c r="E165" s="1189"/>
      <c r="F165" s="1190"/>
      <c r="I165" s="1173"/>
    </row>
    <row r="166" spans="1:10">
      <c r="A166" s="1237">
        <v>1</v>
      </c>
      <c r="B166" s="686" t="s">
        <v>239</v>
      </c>
      <c r="C166" s="1187"/>
      <c r="D166" s="1188"/>
      <c r="E166" s="1189"/>
      <c r="F166" s="1190">
        <f>F49</f>
        <v>0</v>
      </c>
      <c r="I166" s="1173"/>
    </row>
    <row r="167" spans="1:10">
      <c r="A167" s="1229"/>
      <c r="B167" s="1230"/>
      <c r="C167" s="1231"/>
      <c r="D167" s="1231"/>
      <c r="E167" s="1232"/>
      <c r="F167" s="1233"/>
      <c r="I167" s="1234"/>
    </row>
    <row r="168" spans="1:10">
      <c r="A168" s="1185">
        <v>2</v>
      </c>
      <c r="B168" s="686" t="s">
        <v>240</v>
      </c>
      <c r="C168" s="1187"/>
      <c r="D168" s="1231"/>
      <c r="E168" s="1189"/>
      <c r="F168" s="1190">
        <f>F105</f>
        <v>0</v>
      </c>
      <c r="I168" s="1173"/>
    </row>
    <row r="169" spans="1:10">
      <c r="A169" s="1185"/>
      <c r="B169" s="1186"/>
      <c r="C169" s="1187"/>
      <c r="D169" s="1231"/>
      <c r="E169" s="1189"/>
      <c r="F169" s="1190"/>
      <c r="I169" s="1173"/>
    </row>
    <row r="170" spans="1:10">
      <c r="A170" s="1185">
        <v>3</v>
      </c>
      <c r="B170" s="686" t="s">
        <v>241</v>
      </c>
      <c r="C170" s="1187"/>
      <c r="D170" s="1231"/>
      <c r="E170" s="1189"/>
      <c r="F170" s="1190">
        <f>F157</f>
        <v>0</v>
      </c>
      <c r="I170" s="1173"/>
    </row>
    <row r="171" spans="1:10">
      <c r="A171" s="1185"/>
      <c r="B171" s="1186"/>
      <c r="C171" s="1187"/>
      <c r="D171" s="1231"/>
      <c r="E171" s="1189"/>
      <c r="F171" s="1190"/>
      <c r="I171" s="1173"/>
    </row>
    <row r="172" spans="1:10">
      <c r="A172" s="1185"/>
      <c r="B172" s="1186"/>
      <c r="C172" s="1187"/>
      <c r="D172" s="1231"/>
      <c r="E172" s="1189"/>
      <c r="F172" s="1190"/>
      <c r="I172" s="1173"/>
    </row>
    <row r="173" spans="1:10">
      <c r="A173" s="1219"/>
      <c r="B173" s="1186"/>
      <c r="C173" s="1187"/>
      <c r="D173" s="1231"/>
      <c r="E173" s="1189"/>
      <c r="F173" s="1190"/>
      <c r="I173" s="1173"/>
    </row>
    <row r="174" spans="1:10">
      <c r="A174" s="1185"/>
      <c r="B174" s="1186"/>
      <c r="C174" s="1187"/>
      <c r="D174" s="1231"/>
      <c r="E174" s="1189"/>
      <c r="F174" s="1190"/>
      <c r="I174" s="1173"/>
    </row>
    <row r="175" spans="1:10">
      <c r="A175" s="1185"/>
      <c r="B175" s="1186"/>
      <c r="C175" s="1187"/>
      <c r="D175" s="1231"/>
      <c r="E175" s="1189"/>
      <c r="F175" s="1190"/>
      <c r="I175" s="1173"/>
    </row>
    <row r="176" spans="1:10">
      <c r="A176" s="1185"/>
      <c r="B176" s="1186"/>
      <c r="C176" s="1187"/>
      <c r="D176" s="1231"/>
      <c r="E176" s="1189"/>
      <c r="F176" s="1190"/>
      <c r="I176" s="1173"/>
    </row>
    <row r="177" spans="1:9">
      <c r="A177" s="1185"/>
      <c r="B177" s="1186"/>
      <c r="C177" s="1187"/>
      <c r="D177" s="1231"/>
      <c r="E177" s="1189"/>
      <c r="F177" s="1190"/>
      <c r="I177" s="1173"/>
    </row>
    <row r="178" spans="1:9">
      <c r="A178" s="1185"/>
      <c r="B178" s="1186"/>
      <c r="C178" s="1187"/>
      <c r="D178" s="1231"/>
      <c r="E178" s="1189"/>
      <c r="F178" s="1190"/>
      <c r="I178" s="1173"/>
    </row>
    <row r="179" spans="1:9">
      <c r="A179" s="1185"/>
      <c r="B179" s="1186"/>
      <c r="C179" s="1187"/>
      <c r="D179" s="1231"/>
      <c r="E179" s="1189"/>
      <c r="F179" s="1190"/>
      <c r="I179" s="1173"/>
    </row>
    <row r="180" spans="1:9">
      <c r="A180" s="1185"/>
      <c r="B180" s="1186"/>
      <c r="C180" s="1187"/>
      <c r="D180" s="1231"/>
      <c r="E180" s="1189"/>
      <c r="F180" s="1190"/>
      <c r="I180" s="1173"/>
    </row>
    <row r="181" spans="1:9">
      <c r="A181" s="1185"/>
      <c r="B181" s="1186"/>
      <c r="C181" s="1187"/>
      <c r="D181" s="1231"/>
      <c r="E181" s="1189"/>
      <c r="F181" s="1190"/>
      <c r="I181" s="1173"/>
    </row>
    <row r="182" spans="1:9">
      <c r="A182" s="1185"/>
      <c r="B182" s="1186"/>
      <c r="C182" s="1187"/>
      <c r="D182" s="1231"/>
      <c r="E182" s="1189"/>
      <c r="F182" s="1190"/>
      <c r="I182" s="1173"/>
    </row>
    <row r="183" spans="1:9">
      <c r="A183" s="1185"/>
      <c r="B183" s="1186"/>
      <c r="C183" s="1187"/>
      <c r="D183" s="1231"/>
      <c r="E183" s="1189"/>
      <c r="F183" s="1190"/>
      <c r="I183" s="1173"/>
    </row>
    <row r="184" spans="1:9">
      <c r="A184" s="1185"/>
      <c r="B184" s="1186"/>
      <c r="C184" s="1187"/>
      <c r="D184" s="1231"/>
      <c r="E184" s="1189"/>
      <c r="F184" s="1190"/>
      <c r="I184" s="1173"/>
    </row>
    <row r="185" spans="1:9">
      <c r="A185" s="1185"/>
      <c r="B185" s="1186"/>
      <c r="C185" s="1187"/>
      <c r="D185" s="1231"/>
      <c r="E185" s="1189"/>
      <c r="F185" s="1190"/>
      <c r="I185" s="1173"/>
    </row>
    <row r="186" spans="1:9">
      <c r="A186" s="1220"/>
      <c r="B186" s="1186"/>
      <c r="C186" s="1187"/>
      <c r="D186" s="1231"/>
      <c r="E186" s="1189"/>
      <c r="F186" s="1190"/>
      <c r="I186" s="1173"/>
    </row>
    <row r="187" spans="1:9">
      <c r="A187" s="1185"/>
      <c r="B187" s="1186"/>
      <c r="C187" s="1187"/>
      <c r="D187" s="1231"/>
      <c r="E187" s="1189"/>
      <c r="F187" s="1190"/>
      <c r="I187" s="1173"/>
    </row>
    <row r="188" spans="1:9">
      <c r="A188" s="1220"/>
      <c r="B188" s="1221"/>
      <c r="C188" s="1187"/>
      <c r="D188" s="1231"/>
      <c r="E188" s="1189"/>
      <c r="F188" s="1190"/>
      <c r="I188" s="1173"/>
    </row>
    <row r="189" spans="1:9">
      <c r="A189" s="1185"/>
      <c r="B189" s="1186"/>
      <c r="C189" s="1187"/>
      <c r="D189" s="1231"/>
      <c r="E189" s="1189"/>
      <c r="F189" s="1190"/>
      <c r="I189" s="1173"/>
    </row>
    <row r="190" spans="1:9">
      <c r="A190" s="1220"/>
      <c r="B190" s="1221"/>
      <c r="C190" s="1187"/>
      <c r="D190" s="1231"/>
      <c r="E190" s="1189"/>
      <c r="F190" s="1190"/>
      <c r="I190" s="1173"/>
    </row>
    <row r="191" spans="1:9">
      <c r="A191" s="1185"/>
      <c r="B191" s="1186"/>
      <c r="C191" s="1187"/>
      <c r="D191" s="1231"/>
      <c r="E191" s="1189"/>
      <c r="F191" s="1190"/>
      <c r="I191" s="1173"/>
    </row>
    <row r="192" spans="1:9">
      <c r="A192" s="1220"/>
      <c r="B192" s="1221"/>
      <c r="C192" s="1187"/>
      <c r="D192" s="1231"/>
      <c r="E192" s="1189"/>
      <c r="F192" s="1190"/>
      <c r="I192" s="1173"/>
    </row>
    <row r="193" spans="1:9">
      <c r="A193" s="1185"/>
      <c r="B193" s="1186"/>
      <c r="C193" s="1187"/>
      <c r="D193" s="1231"/>
      <c r="E193" s="1189"/>
      <c r="F193" s="1190"/>
      <c r="I193" s="1173"/>
    </row>
    <row r="194" spans="1:9">
      <c r="A194" s="1220"/>
      <c r="B194" s="1221"/>
      <c r="C194" s="1187"/>
      <c r="D194" s="1231"/>
      <c r="E194" s="1189"/>
      <c r="F194" s="1190"/>
      <c r="I194" s="1173"/>
    </row>
    <row r="195" spans="1:9">
      <c r="A195" s="1220"/>
      <c r="B195" s="1221"/>
      <c r="C195" s="1187"/>
      <c r="D195" s="1231"/>
      <c r="E195" s="1189"/>
      <c r="F195" s="1190"/>
      <c r="I195" s="1173"/>
    </row>
    <row r="196" spans="1:9">
      <c r="A196" s="1220"/>
      <c r="B196" s="1221"/>
      <c r="C196" s="1187"/>
      <c r="D196" s="1231"/>
      <c r="E196" s="1189"/>
      <c r="F196" s="1190"/>
      <c r="I196" s="1173"/>
    </row>
    <row r="197" spans="1:9">
      <c r="A197" s="1220"/>
      <c r="B197" s="1221"/>
      <c r="C197" s="1187"/>
      <c r="D197" s="1231"/>
      <c r="E197" s="1189"/>
      <c r="F197" s="1190"/>
      <c r="I197" s="1173"/>
    </row>
    <row r="198" spans="1:9">
      <c r="A198" s="1220"/>
      <c r="B198" s="1221"/>
      <c r="C198" s="1187"/>
      <c r="D198" s="1231"/>
      <c r="E198" s="1189"/>
      <c r="F198" s="1190"/>
      <c r="I198" s="1173"/>
    </row>
    <row r="199" spans="1:9">
      <c r="A199" s="1220"/>
      <c r="B199" s="1221"/>
      <c r="C199" s="1187"/>
      <c r="D199" s="1231"/>
      <c r="E199" s="1189"/>
      <c r="F199" s="1190"/>
      <c r="I199" s="1173"/>
    </row>
    <row r="200" spans="1:9">
      <c r="A200" s="1220"/>
      <c r="B200" s="1221"/>
      <c r="C200" s="1187"/>
      <c r="D200" s="1231"/>
      <c r="E200" s="1189"/>
      <c r="F200" s="1190"/>
      <c r="I200" s="1173"/>
    </row>
    <row r="201" spans="1:9">
      <c r="A201" s="1220"/>
      <c r="B201" s="1221"/>
      <c r="C201" s="1187"/>
      <c r="D201" s="1231"/>
      <c r="E201" s="1189"/>
      <c r="F201" s="1190"/>
      <c r="I201" s="1173"/>
    </row>
    <row r="202" spans="1:9">
      <c r="A202" s="1220"/>
      <c r="B202" s="1221"/>
      <c r="C202" s="1187"/>
      <c r="D202" s="1231"/>
      <c r="E202" s="1189"/>
      <c r="F202" s="1190"/>
      <c r="I202" s="1173"/>
    </row>
    <row r="203" spans="1:9">
      <c r="A203" s="1220"/>
      <c r="B203" s="1221"/>
      <c r="C203" s="1187"/>
      <c r="D203" s="1231"/>
      <c r="E203" s="1189"/>
      <c r="F203" s="1190"/>
      <c r="I203" s="1173"/>
    </row>
    <row r="204" spans="1:9">
      <c r="A204" s="1220"/>
      <c r="B204" s="1221"/>
      <c r="C204" s="1187"/>
      <c r="D204" s="1231"/>
      <c r="E204" s="1189"/>
      <c r="F204" s="1190"/>
      <c r="I204" s="1173"/>
    </row>
    <row r="205" spans="1:9">
      <c r="A205" s="1220"/>
      <c r="B205" s="1221"/>
      <c r="C205" s="1187"/>
      <c r="D205" s="1231"/>
      <c r="E205" s="1189"/>
      <c r="F205" s="1190"/>
      <c r="I205" s="1173"/>
    </row>
    <row r="206" spans="1:9">
      <c r="A206" s="1220"/>
      <c r="B206" s="1221"/>
      <c r="C206" s="1187"/>
      <c r="D206" s="1231"/>
      <c r="E206" s="1189"/>
      <c r="F206" s="1190"/>
      <c r="I206" s="1173"/>
    </row>
    <row r="207" spans="1:9">
      <c r="A207" s="1220"/>
      <c r="B207" s="1221"/>
      <c r="C207" s="1187"/>
      <c r="D207" s="1231"/>
      <c r="E207" s="1189"/>
      <c r="F207" s="1190"/>
      <c r="I207" s="1173"/>
    </row>
    <row r="208" spans="1:9">
      <c r="A208" s="1220"/>
      <c r="B208" s="1221"/>
      <c r="C208" s="1187"/>
      <c r="D208" s="1231"/>
      <c r="E208" s="1189"/>
      <c r="F208" s="1190"/>
      <c r="I208" s="1173"/>
    </row>
    <row r="209" spans="1:9">
      <c r="A209" s="1220"/>
      <c r="B209" s="1221"/>
      <c r="C209" s="1187"/>
      <c r="D209" s="1231"/>
      <c r="E209" s="1189"/>
      <c r="F209" s="1190"/>
      <c r="I209" s="1173"/>
    </row>
    <row r="210" spans="1:9" ht="16" thickBot="1">
      <c r="A210" s="1220"/>
      <c r="B210" s="1221"/>
      <c r="C210" s="1187"/>
      <c r="D210" s="1231"/>
      <c r="E210" s="1189"/>
      <c r="F210" s="1190"/>
      <c r="I210" s="1173"/>
    </row>
    <row r="211" spans="1:9" ht="16" thickTop="1">
      <c r="A211" s="1193"/>
      <c r="B211" s="1194"/>
      <c r="C211" s="1195"/>
      <c r="D211" s="1195"/>
      <c r="E211" s="1196"/>
      <c r="F211" s="1197"/>
      <c r="I211" s="571"/>
    </row>
    <row r="212" spans="1:9">
      <c r="A212" s="1575" t="s">
        <v>1511</v>
      </c>
      <c r="B212" s="1576"/>
      <c r="C212" s="1226"/>
      <c r="D212" s="1226"/>
      <c r="E212" s="1225"/>
      <c r="F212" s="1235">
        <f>SUM(F163:F211)</f>
        <v>0</v>
      </c>
      <c r="I212" s="1226"/>
    </row>
    <row r="213" spans="1:9" ht="16" thickBot="1">
      <c r="A213" s="645"/>
      <c r="B213" s="1201"/>
      <c r="C213" s="1202"/>
      <c r="D213" s="1202"/>
      <c r="E213" s="1203"/>
      <c r="F213" s="1204"/>
      <c r="I213" s="571"/>
    </row>
    <row r="214" spans="1:9" ht="16" thickTop="1">
      <c r="A214" s="1238"/>
      <c r="B214" s="1239"/>
      <c r="C214" s="1240"/>
      <c r="D214" s="1240"/>
      <c r="E214" s="1241"/>
      <c r="F214" s="1242"/>
    </row>
    <row r="215" spans="1:9">
      <c r="A215" s="1238"/>
      <c r="B215" s="1239"/>
      <c r="C215" s="1240"/>
      <c r="D215" s="1240"/>
      <c r="E215" s="1241"/>
      <c r="F215" s="1242"/>
    </row>
    <row r="216" spans="1:9">
      <c r="A216" s="1238"/>
      <c r="B216" s="1239"/>
      <c r="C216" s="1240"/>
      <c r="D216" s="1240"/>
      <c r="E216" s="1241"/>
      <c r="F216" s="1242"/>
    </row>
    <row r="217" spans="1:9">
      <c r="A217" s="1238"/>
      <c r="B217" s="1239"/>
      <c r="C217" s="1240"/>
      <c r="D217" s="1240"/>
      <c r="E217" s="1241"/>
      <c r="F217" s="1242"/>
    </row>
    <row r="218" spans="1:9">
      <c r="A218" s="1238"/>
      <c r="B218" s="1239"/>
      <c r="C218" s="1240"/>
      <c r="D218" s="1240"/>
      <c r="E218" s="1241"/>
      <c r="F218" s="1242"/>
    </row>
    <row r="219" spans="1:9">
      <c r="A219" s="1238"/>
      <c r="B219" s="1239"/>
      <c r="C219" s="1240"/>
      <c r="D219" s="1240"/>
      <c r="E219" s="1241"/>
      <c r="F219" s="1242"/>
    </row>
    <row r="220" spans="1:9">
      <c r="A220" s="1238"/>
      <c r="B220" s="1239"/>
      <c r="C220" s="1240"/>
      <c r="D220" s="1240"/>
      <c r="E220" s="1241"/>
      <c r="F220" s="1242"/>
    </row>
    <row r="221" spans="1:9">
      <c r="A221" s="1238"/>
      <c r="B221" s="1239"/>
      <c r="C221" s="1240"/>
      <c r="D221" s="1240"/>
      <c r="E221" s="1241"/>
      <c r="F221" s="1242"/>
    </row>
    <row r="222" spans="1:9">
      <c r="A222" s="1238"/>
      <c r="B222" s="1239"/>
      <c r="C222" s="1240"/>
      <c r="D222" s="1240"/>
      <c r="E222" s="1241"/>
      <c r="F222" s="1242"/>
    </row>
    <row r="223" spans="1:9">
      <c r="A223" s="1238"/>
      <c r="B223" s="1239"/>
      <c r="C223" s="1240"/>
      <c r="D223" s="1240"/>
      <c r="E223" s="1241"/>
      <c r="F223" s="1242"/>
    </row>
    <row r="224" spans="1:9">
      <c r="A224" s="1238"/>
      <c r="B224" s="1239"/>
      <c r="C224" s="1240"/>
      <c r="D224" s="1240"/>
      <c r="E224" s="1241"/>
      <c r="F224" s="1242"/>
    </row>
    <row r="225" spans="1:6">
      <c r="A225" s="1238"/>
      <c r="B225" s="1239"/>
      <c r="C225" s="1240"/>
      <c r="D225" s="1240"/>
      <c r="E225" s="1241"/>
      <c r="F225" s="1242"/>
    </row>
    <row r="226" spans="1:6">
      <c r="A226" s="1238"/>
      <c r="B226" s="1239"/>
      <c r="C226" s="1240"/>
      <c r="D226" s="1240"/>
      <c r="E226" s="1241"/>
      <c r="F226" s="1242"/>
    </row>
    <row r="227" spans="1:6">
      <c r="A227" s="1238"/>
      <c r="B227" s="1239"/>
      <c r="C227" s="1240"/>
      <c r="D227" s="1240"/>
      <c r="E227" s="1241"/>
      <c r="F227" s="1242"/>
    </row>
    <row r="228" spans="1:6">
      <c r="A228" s="1238"/>
      <c r="B228" s="1239"/>
      <c r="C228" s="1240"/>
      <c r="D228" s="1240"/>
      <c r="E228" s="1241"/>
      <c r="F228" s="1242"/>
    </row>
    <row r="229" spans="1:6">
      <c r="A229" s="1238"/>
      <c r="B229" s="1239"/>
      <c r="C229" s="1240"/>
      <c r="D229" s="1240"/>
      <c r="E229" s="1241"/>
      <c r="F229" s="1242"/>
    </row>
    <row r="230" spans="1:6">
      <c r="A230" s="1238"/>
      <c r="B230" s="1239"/>
      <c r="C230" s="1240"/>
      <c r="D230" s="1240"/>
      <c r="E230" s="1241"/>
      <c r="F230" s="1242"/>
    </row>
    <row r="231" spans="1:6">
      <c r="A231" s="1238"/>
      <c r="B231" s="1239"/>
      <c r="C231" s="1240"/>
      <c r="D231" s="1240"/>
      <c r="E231" s="1241"/>
      <c r="F231" s="1242"/>
    </row>
    <row r="232" spans="1:6">
      <c r="A232" s="1238"/>
      <c r="B232" s="1239"/>
      <c r="C232" s="1240"/>
      <c r="D232" s="1240"/>
      <c r="E232" s="1241"/>
      <c r="F232" s="1242"/>
    </row>
    <row r="233" spans="1:6">
      <c r="A233" s="1238"/>
      <c r="B233" s="1239"/>
      <c r="C233" s="1240"/>
      <c r="D233" s="1240"/>
      <c r="E233" s="1241"/>
      <c r="F233" s="1242"/>
    </row>
    <row r="234" spans="1:6">
      <c r="A234" s="1238"/>
      <c r="B234" s="1239"/>
      <c r="C234" s="1240"/>
      <c r="D234" s="1240"/>
      <c r="E234" s="1241"/>
      <c r="F234" s="1242"/>
    </row>
    <row r="235" spans="1:6">
      <c r="A235" s="1238"/>
      <c r="B235" s="1239"/>
      <c r="C235" s="1240"/>
      <c r="D235" s="1240"/>
      <c r="E235" s="1241"/>
      <c r="F235" s="1242"/>
    </row>
    <row r="236" spans="1:6">
      <c r="A236" s="1238"/>
      <c r="B236" s="1239"/>
      <c r="C236" s="1240"/>
      <c r="D236" s="1240"/>
      <c r="E236" s="1241"/>
      <c r="F236" s="1242"/>
    </row>
    <row r="237" spans="1:6">
      <c r="A237" s="1238"/>
      <c r="B237" s="1239"/>
      <c r="C237" s="1240"/>
      <c r="D237" s="1240"/>
      <c r="E237" s="1241"/>
      <c r="F237" s="1242"/>
    </row>
    <row r="238" spans="1:6">
      <c r="A238" s="1238"/>
      <c r="B238" s="1239"/>
      <c r="C238" s="1240"/>
      <c r="D238" s="1240"/>
      <c r="E238" s="1241"/>
      <c r="F238" s="1242"/>
    </row>
    <row r="239" spans="1:6">
      <c r="A239" s="1238"/>
      <c r="B239" s="1239"/>
      <c r="C239" s="1240"/>
      <c r="D239" s="1240"/>
      <c r="E239" s="1241"/>
      <c r="F239" s="1242"/>
    </row>
    <row r="240" spans="1:6">
      <c r="A240" s="1238"/>
      <c r="B240" s="1239"/>
      <c r="C240" s="1240"/>
      <c r="D240" s="1240"/>
      <c r="E240" s="1241"/>
      <c r="F240" s="1242"/>
    </row>
    <row r="241" spans="1:6">
      <c r="A241" s="1238"/>
      <c r="B241" s="1239"/>
      <c r="C241" s="1240"/>
      <c r="D241" s="1240"/>
      <c r="E241" s="1241"/>
      <c r="F241" s="1242"/>
    </row>
    <row r="242" spans="1:6">
      <c r="A242" s="1238"/>
      <c r="B242" s="1239"/>
      <c r="C242" s="1240"/>
      <c r="D242" s="1240"/>
      <c r="E242" s="1241"/>
      <c r="F242" s="1242"/>
    </row>
    <row r="243" spans="1:6">
      <c r="A243" s="1238"/>
      <c r="B243" s="1239"/>
      <c r="C243" s="1240"/>
      <c r="D243" s="1240"/>
      <c r="E243" s="1241"/>
      <c r="F243" s="1242"/>
    </row>
    <row r="244" spans="1:6">
      <c r="A244" s="1238"/>
      <c r="B244" s="1239"/>
      <c r="C244" s="1240"/>
      <c r="D244" s="1240"/>
      <c r="E244" s="1241"/>
      <c r="F244" s="1242"/>
    </row>
    <row r="245" spans="1:6">
      <c r="A245" s="1238"/>
      <c r="B245" s="1239"/>
      <c r="C245" s="1240"/>
      <c r="D245" s="1240"/>
      <c r="E245" s="1241"/>
      <c r="F245" s="1242"/>
    </row>
    <row r="246" spans="1:6">
      <c r="A246" s="1238"/>
      <c r="B246" s="1239"/>
      <c r="C246" s="1240"/>
      <c r="D246" s="1240"/>
      <c r="E246" s="1241"/>
      <c r="F246" s="1242"/>
    </row>
    <row r="247" spans="1:6">
      <c r="A247" s="1238"/>
      <c r="B247" s="1239"/>
      <c r="C247" s="1240"/>
      <c r="D247" s="1240"/>
      <c r="E247" s="1241"/>
      <c r="F247" s="1242"/>
    </row>
    <row r="248" spans="1:6">
      <c r="A248" s="1238"/>
      <c r="B248" s="1239"/>
      <c r="C248" s="1240"/>
      <c r="D248" s="1240"/>
      <c r="E248" s="1241"/>
      <c r="F248" s="1242"/>
    </row>
    <row r="249" spans="1:6">
      <c r="A249" s="1238"/>
      <c r="B249" s="1239"/>
      <c r="C249" s="1240"/>
      <c r="D249" s="1240"/>
      <c r="E249" s="1241"/>
      <c r="F249" s="1242"/>
    </row>
    <row r="250" spans="1:6">
      <c r="A250" s="1238"/>
      <c r="B250" s="1239"/>
      <c r="C250" s="1240"/>
      <c r="D250" s="1240"/>
      <c r="E250" s="1241"/>
      <c r="F250" s="1242"/>
    </row>
    <row r="251" spans="1:6">
      <c r="A251" s="1238"/>
      <c r="B251" s="1239"/>
      <c r="C251" s="1240"/>
      <c r="D251" s="1240"/>
      <c r="E251" s="1241"/>
      <c r="F251" s="1242"/>
    </row>
    <row r="252" spans="1:6">
      <c r="A252" s="1238"/>
      <c r="B252" s="1239"/>
      <c r="C252" s="1240"/>
      <c r="D252" s="1240"/>
      <c r="E252" s="1241"/>
      <c r="F252" s="1242"/>
    </row>
    <row r="253" spans="1:6">
      <c r="A253" s="1238"/>
      <c r="B253" s="1239"/>
      <c r="C253" s="1240"/>
      <c r="D253" s="1240"/>
      <c r="E253" s="1241"/>
      <c r="F253" s="1242"/>
    </row>
    <row r="254" spans="1:6">
      <c r="A254" s="1238"/>
      <c r="B254" s="1239"/>
      <c r="C254" s="1240"/>
      <c r="D254" s="1240"/>
      <c r="E254" s="1241"/>
      <c r="F254" s="1242"/>
    </row>
    <row r="255" spans="1:6">
      <c r="A255" s="1238"/>
      <c r="B255" s="1239"/>
      <c r="C255" s="1240"/>
      <c r="D255" s="1240"/>
      <c r="E255" s="1241"/>
      <c r="F255" s="1242"/>
    </row>
    <row r="256" spans="1:6">
      <c r="A256" s="1238"/>
      <c r="B256" s="1239"/>
      <c r="C256" s="1240"/>
      <c r="D256" s="1240"/>
      <c r="E256" s="1241"/>
      <c r="F256" s="1242"/>
    </row>
    <row r="257" spans="1:6">
      <c r="A257" s="1238"/>
      <c r="B257" s="1239"/>
      <c r="C257" s="1240"/>
      <c r="D257" s="1240"/>
      <c r="E257" s="1241"/>
      <c r="F257" s="1242"/>
    </row>
    <row r="258" spans="1:6">
      <c r="A258" s="1238"/>
      <c r="B258" s="1239"/>
      <c r="C258" s="1240"/>
      <c r="D258" s="1240"/>
      <c r="E258" s="1241"/>
      <c r="F258" s="1242"/>
    </row>
    <row r="259" spans="1:6">
      <c r="A259" s="1238"/>
      <c r="B259" s="1239"/>
      <c r="C259" s="1240"/>
      <c r="D259" s="1240"/>
      <c r="E259" s="1241"/>
      <c r="F259" s="1242"/>
    </row>
    <row r="260" spans="1:6">
      <c r="A260" s="1238"/>
      <c r="B260" s="1239"/>
      <c r="C260" s="1240"/>
      <c r="D260" s="1240"/>
      <c r="E260" s="1241"/>
      <c r="F260" s="1242"/>
    </row>
    <row r="261" spans="1:6">
      <c r="A261" s="1238"/>
      <c r="B261" s="1239"/>
      <c r="C261" s="1240"/>
      <c r="D261" s="1240"/>
      <c r="E261" s="1241"/>
      <c r="F261" s="1242"/>
    </row>
    <row r="262" spans="1:6">
      <c r="A262" s="1238"/>
      <c r="B262" s="1239"/>
      <c r="C262" s="1240"/>
      <c r="D262" s="1240"/>
      <c r="E262" s="1241"/>
      <c r="F262" s="1242"/>
    </row>
    <row r="263" spans="1:6">
      <c r="A263" s="1238"/>
      <c r="B263" s="1239"/>
      <c r="C263" s="1240"/>
      <c r="D263" s="1240"/>
      <c r="E263" s="1241"/>
      <c r="F263" s="1242"/>
    </row>
    <row r="264" spans="1:6">
      <c r="A264" s="1238"/>
      <c r="B264" s="1239"/>
      <c r="C264" s="1240"/>
      <c r="D264" s="1240"/>
      <c r="E264" s="1241"/>
      <c r="F264" s="1242"/>
    </row>
    <row r="265" spans="1:6">
      <c r="A265" s="1238"/>
      <c r="B265" s="1239"/>
      <c r="C265" s="1240"/>
      <c r="D265" s="1240"/>
      <c r="E265" s="1241"/>
      <c r="F265" s="1242"/>
    </row>
    <row r="266" spans="1:6">
      <c r="A266" s="1238"/>
      <c r="B266" s="1239"/>
      <c r="C266" s="1240"/>
      <c r="D266" s="1240"/>
      <c r="E266" s="1241"/>
      <c r="F266" s="1242"/>
    </row>
    <row r="267" spans="1:6">
      <c r="A267" s="1238"/>
      <c r="B267" s="1239"/>
      <c r="C267" s="1240"/>
      <c r="D267" s="1240"/>
      <c r="E267" s="1241"/>
      <c r="F267" s="1242"/>
    </row>
    <row r="268" spans="1:6">
      <c r="A268" s="1238"/>
      <c r="B268" s="1239"/>
      <c r="C268" s="1240"/>
      <c r="D268" s="1240"/>
      <c r="E268" s="1241"/>
      <c r="F268" s="1242"/>
    </row>
    <row r="269" spans="1:6">
      <c r="A269" s="1238"/>
      <c r="B269" s="1239"/>
      <c r="C269" s="1240"/>
      <c r="D269" s="1240"/>
      <c r="E269" s="1241"/>
      <c r="F269" s="1242"/>
    </row>
    <row r="270" spans="1:6">
      <c r="A270" s="1238"/>
      <c r="B270" s="1239"/>
      <c r="C270" s="1240"/>
      <c r="D270" s="1240"/>
      <c r="E270" s="1241"/>
      <c r="F270" s="1242"/>
    </row>
    <row r="271" spans="1:6">
      <c r="A271" s="1238"/>
      <c r="B271" s="1239"/>
      <c r="C271" s="1240"/>
      <c r="D271" s="1240"/>
      <c r="E271" s="1241"/>
      <c r="F271" s="1242"/>
    </row>
    <row r="272" spans="1:6">
      <c r="A272" s="1238"/>
      <c r="B272" s="1239"/>
      <c r="C272" s="1240"/>
      <c r="D272" s="1240"/>
      <c r="E272" s="1241"/>
      <c r="F272" s="1242"/>
    </row>
    <row r="273" spans="1:6">
      <c r="A273" s="1238"/>
      <c r="B273" s="1239"/>
      <c r="C273" s="1240"/>
      <c r="D273" s="1240"/>
      <c r="E273" s="1241"/>
      <c r="F273" s="1242"/>
    </row>
    <row r="274" spans="1:6">
      <c r="A274" s="1238"/>
      <c r="B274" s="1239"/>
      <c r="C274" s="1240"/>
      <c r="D274" s="1240"/>
      <c r="E274" s="1241"/>
      <c r="F274" s="1242"/>
    </row>
    <row r="275" spans="1:6">
      <c r="A275" s="1238"/>
      <c r="B275" s="1239"/>
      <c r="C275" s="1240"/>
      <c r="D275" s="1240"/>
      <c r="E275" s="1241"/>
      <c r="F275" s="1242"/>
    </row>
    <row r="276" spans="1:6">
      <c r="A276" s="1238"/>
      <c r="B276" s="1239"/>
      <c r="C276" s="1240"/>
      <c r="D276" s="1240"/>
      <c r="E276" s="1241"/>
      <c r="F276" s="1242"/>
    </row>
    <row r="277" spans="1:6">
      <c r="A277" s="1238"/>
      <c r="B277" s="1239"/>
      <c r="C277" s="1240"/>
      <c r="D277" s="1240"/>
      <c r="E277" s="1241"/>
      <c r="F277" s="1242"/>
    </row>
    <row r="278" spans="1:6">
      <c r="A278" s="1238"/>
      <c r="B278" s="1239"/>
      <c r="C278" s="1240"/>
      <c r="D278" s="1240"/>
      <c r="E278" s="1241"/>
      <c r="F278" s="1242"/>
    </row>
    <row r="279" spans="1:6">
      <c r="A279" s="1238"/>
      <c r="B279" s="1239"/>
      <c r="C279" s="1240"/>
      <c r="D279" s="1240"/>
      <c r="E279" s="1241"/>
      <c r="F279" s="1242"/>
    </row>
    <row r="280" spans="1:6">
      <c r="A280" s="1238"/>
      <c r="B280" s="1239"/>
      <c r="C280" s="1240"/>
      <c r="D280" s="1240"/>
      <c r="E280" s="1241"/>
      <c r="F280" s="1242"/>
    </row>
    <row r="281" spans="1:6">
      <c r="A281" s="1238"/>
      <c r="B281" s="1239"/>
      <c r="C281" s="1240"/>
      <c r="D281" s="1240"/>
      <c r="E281" s="1241"/>
      <c r="F281" s="1242"/>
    </row>
    <row r="282" spans="1:6">
      <c r="A282" s="1238"/>
      <c r="B282" s="1239"/>
      <c r="C282" s="1240"/>
      <c r="D282" s="1240"/>
      <c r="E282" s="1241"/>
      <c r="F282" s="1242"/>
    </row>
    <row r="283" spans="1:6">
      <c r="A283" s="1238"/>
      <c r="B283" s="1239"/>
      <c r="C283" s="1240"/>
      <c r="D283" s="1240"/>
      <c r="E283" s="1241"/>
      <c r="F283" s="1242"/>
    </row>
    <row r="284" spans="1:6">
      <c r="A284" s="1238"/>
      <c r="B284" s="1239"/>
      <c r="C284" s="1240"/>
      <c r="D284" s="1240"/>
      <c r="E284" s="1241"/>
      <c r="F284" s="1242"/>
    </row>
    <row r="285" spans="1:6">
      <c r="A285" s="1238"/>
      <c r="B285" s="1239"/>
      <c r="C285" s="1240"/>
      <c r="D285" s="1240"/>
      <c r="E285" s="1241"/>
      <c r="F285" s="1242"/>
    </row>
    <row r="286" spans="1:6">
      <c r="A286" s="1238"/>
      <c r="B286" s="1239"/>
      <c r="C286" s="1240"/>
      <c r="D286" s="1240"/>
      <c r="E286" s="1241"/>
      <c r="F286" s="1242"/>
    </row>
    <row r="287" spans="1:6">
      <c r="A287" s="1238"/>
      <c r="B287" s="1239"/>
      <c r="C287" s="1240"/>
      <c r="D287" s="1240"/>
      <c r="E287" s="1241"/>
      <c r="F287" s="1242"/>
    </row>
    <row r="288" spans="1:6">
      <c r="A288" s="1238"/>
      <c r="B288" s="1239"/>
      <c r="C288" s="1240"/>
      <c r="D288" s="1240"/>
      <c r="E288" s="1241"/>
      <c r="F288" s="1242"/>
    </row>
    <row r="289" spans="1:6">
      <c r="A289" s="1238"/>
      <c r="B289" s="1239"/>
      <c r="C289" s="1240"/>
      <c r="D289" s="1240"/>
      <c r="E289" s="1241"/>
      <c r="F289" s="1242"/>
    </row>
    <row r="290" spans="1:6">
      <c r="A290" s="1238"/>
      <c r="B290" s="1239"/>
      <c r="C290" s="1240"/>
      <c r="D290" s="1240"/>
      <c r="E290" s="1241"/>
      <c r="F290" s="1242"/>
    </row>
    <row r="291" spans="1:6">
      <c r="A291" s="1238"/>
      <c r="B291" s="1239"/>
      <c r="C291" s="1240"/>
      <c r="D291" s="1240"/>
      <c r="E291" s="1241"/>
      <c r="F291" s="1242"/>
    </row>
    <row r="292" spans="1:6">
      <c r="A292" s="1238"/>
      <c r="B292" s="1239"/>
      <c r="C292" s="1240"/>
      <c r="D292" s="1240"/>
      <c r="E292" s="1241"/>
      <c r="F292" s="1242"/>
    </row>
    <row r="293" spans="1:6">
      <c r="A293" s="1238"/>
      <c r="B293" s="1239"/>
      <c r="C293" s="1240"/>
      <c r="D293" s="1240"/>
      <c r="E293" s="1241"/>
      <c r="F293" s="1242"/>
    </row>
    <row r="294" spans="1:6">
      <c r="A294" s="1238"/>
      <c r="B294" s="1239"/>
      <c r="C294" s="1240"/>
      <c r="D294" s="1240"/>
      <c r="E294" s="1241"/>
      <c r="F294" s="1242"/>
    </row>
    <row r="295" spans="1:6">
      <c r="A295" s="1238"/>
      <c r="B295" s="1239"/>
      <c r="C295" s="1240"/>
      <c r="D295" s="1240"/>
      <c r="E295" s="1241"/>
      <c r="F295" s="1242"/>
    </row>
    <row r="296" spans="1:6">
      <c r="A296" s="1238"/>
      <c r="B296" s="1239"/>
      <c r="C296" s="1240"/>
      <c r="D296" s="1240"/>
      <c r="E296" s="1241"/>
      <c r="F296" s="1242"/>
    </row>
    <row r="297" spans="1:6">
      <c r="A297" s="1238"/>
      <c r="B297" s="1239"/>
      <c r="C297" s="1240"/>
      <c r="D297" s="1240"/>
      <c r="E297" s="1241"/>
      <c r="F297" s="1242"/>
    </row>
    <row r="298" spans="1:6">
      <c r="A298" s="1238"/>
      <c r="B298" s="1239"/>
      <c r="C298" s="1240"/>
      <c r="D298" s="1240"/>
      <c r="E298" s="1241"/>
      <c r="F298" s="1242"/>
    </row>
    <row r="299" spans="1:6">
      <c r="A299" s="1238"/>
      <c r="B299" s="1239"/>
      <c r="C299" s="1240"/>
      <c r="D299" s="1240"/>
      <c r="E299" s="1241"/>
      <c r="F299" s="1242"/>
    </row>
    <row r="300" spans="1:6">
      <c r="A300" s="1238"/>
      <c r="B300" s="1239"/>
      <c r="C300" s="1240"/>
      <c r="D300" s="1240"/>
      <c r="E300" s="1241"/>
      <c r="F300" s="1242"/>
    </row>
    <row r="301" spans="1:6">
      <c r="A301" s="1238"/>
      <c r="B301" s="1239"/>
      <c r="C301" s="1240"/>
      <c r="D301" s="1240"/>
      <c r="E301" s="1241"/>
      <c r="F301" s="1242"/>
    </row>
    <row r="302" spans="1:6">
      <c r="A302" s="1238"/>
      <c r="B302" s="1239"/>
      <c r="C302" s="1240"/>
      <c r="D302" s="1240"/>
      <c r="E302" s="1241"/>
      <c r="F302" s="1242"/>
    </row>
    <row r="303" spans="1:6">
      <c r="A303" s="1238"/>
      <c r="B303" s="1239"/>
      <c r="C303" s="1240"/>
      <c r="D303" s="1240"/>
      <c r="E303" s="1241"/>
      <c r="F303" s="1242"/>
    </row>
    <row r="304" spans="1:6">
      <c r="A304" s="1238"/>
      <c r="B304" s="1239"/>
      <c r="C304" s="1240"/>
      <c r="D304" s="1240"/>
      <c r="E304" s="1241"/>
      <c r="F304" s="1242"/>
    </row>
    <row r="305" spans="1:6">
      <c r="A305" s="1238"/>
      <c r="B305" s="1239"/>
      <c r="C305" s="1240"/>
      <c r="D305" s="1240"/>
      <c r="E305" s="1241"/>
      <c r="F305" s="1242"/>
    </row>
    <row r="306" spans="1:6">
      <c r="A306" s="1238"/>
      <c r="B306" s="1239"/>
      <c r="C306" s="1240"/>
      <c r="D306" s="1240"/>
      <c r="E306" s="1241"/>
      <c r="F306" s="1242"/>
    </row>
    <row r="307" spans="1:6">
      <c r="A307" s="1238"/>
      <c r="B307" s="1239"/>
      <c r="C307" s="1240"/>
      <c r="D307" s="1240"/>
      <c r="E307" s="1241"/>
      <c r="F307" s="1242"/>
    </row>
    <row r="308" spans="1:6">
      <c r="A308" s="1238"/>
      <c r="B308" s="1239"/>
      <c r="C308" s="1240"/>
      <c r="D308" s="1240"/>
      <c r="E308" s="1241"/>
      <c r="F308" s="1242"/>
    </row>
    <row r="309" spans="1:6">
      <c r="A309" s="1238"/>
      <c r="B309" s="1239"/>
      <c r="C309" s="1240"/>
      <c r="D309" s="1240"/>
      <c r="E309" s="1241"/>
      <c r="F309" s="1242"/>
    </row>
    <row r="310" spans="1:6">
      <c r="A310" s="1238"/>
      <c r="B310" s="1239"/>
      <c r="C310" s="1240"/>
      <c r="D310" s="1240"/>
      <c r="E310" s="1241"/>
      <c r="F310" s="1242"/>
    </row>
    <row r="311" spans="1:6">
      <c r="A311" s="1238"/>
      <c r="B311" s="1239"/>
      <c r="C311" s="1240"/>
      <c r="D311" s="1240"/>
      <c r="E311" s="1241"/>
      <c r="F311" s="1242"/>
    </row>
    <row r="312" spans="1:6">
      <c r="A312" s="1238"/>
      <c r="B312" s="1239"/>
      <c r="C312" s="1240"/>
      <c r="D312" s="1240"/>
      <c r="E312" s="1241"/>
      <c r="F312" s="1242"/>
    </row>
    <row r="313" spans="1:6">
      <c r="A313" s="1238"/>
      <c r="B313" s="1239"/>
      <c r="C313" s="1240"/>
      <c r="D313" s="1240"/>
      <c r="E313" s="1241"/>
      <c r="F313" s="1242"/>
    </row>
    <row r="314" spans="1:6">
      <c r="A314" s="1238"/>
      <c r="B314" s="1239"/>
      <c r="C314" s="1240"/>
      <c r="D314" s="1240"/>
      <c r="E314" s="1241"/>
      <c r="F314" s="1242"/>
    </row>
    <row r="315" spans="1:6">
      <c r="A315" s="1238"/>
      <c r="B315" s="1239"/>
      <c r="C315" s="1240"/>
      <c r="D315" s="1240"/>
      <c r="E315" s="1241"/>
      <c r="F315" s="1242"/>
    </row>
    <row r="316" spans="1:6">
      <c r="A316" s="1238"/>
      <c r="B316" s="1239"/>
      <c r="C316" s="1240"/>
      <c r="D316" s="1240"/>
      <c r="E316" s="1241"/>
      <c r="F316" s="1242"/>
    </row>
    <row r="317" spans="1:6">
      <c r="A317" s="1238"/>
      <c r="B317" s="1239"/>
      <c r="C317" s="1240"/>
      <c r="D317" s="1240"/>
      <c r="E317" s="1241"/>
      <c r="F317" s="1242"/>
    </row>
    <row r="318" spans="1:6">
      <c r="A318" s="1238"/>
      <c r="B318" s="1239"/>
      <c r="C318" s="1240"/>
      <c r="D318" s="1240"/>
      <c r="E318" s="1241"/>
      <c r="F318" s="1242"/>
    </row>
    <row r="319" spans="1:6">
      <c r="A319" s="1238"/>
      <c r="B319" s="1239"/>
      <c r="C319" s="1240"/>
      <c r="D319" s="1240"/>
      <c r="E319" s="1241"/>
      <c r="F319" s="1242"/>
    </row>
    <row r="320" spans="1:6">
      <c r="A320" s="1238"/>
      <c r="B320" s="1239"/>
      <c r="C320" s="1240"/>
      <c r="D320" s="1240"/>
      <c r="E320" s="1241"/>
      <c r="F320" s="1242"/>
    </row>
    <row r="321" spans="1:6">
      <c r="A321" s="1238"/>
      <c r="B321" s="1239"/>
      <c r="C321" s="1240"/>
      <c r="D321" s="1240"/>
      <c r="E321" s="1241"/>
      <c r="F321" s="1242"/>
    </row>
    <row r="322" spans="1:6">
      <c r="A322" s="1238"/>
      <c r="B322" s="1239"/>
      <c r="C322" s="1240"/>
      <c r="D322" s="1240"/>
      <c r="E322" s="1241"/>
      <c r="F322" s="1242"/>
    </row>
    <row r="323" spans="1:6">
      <c r="A323" s="1238"/>
      <c r="B323" s="1239"/>
      <c r="C323" s="1240"/>
      <c r="D323" s="1240"/>
      <c r="E323" s="1241"/>
      <c r="F323" s="1242"/>
    </row>
    <row r="324" spans="1:6">
      <c r="A324" s="1238"/>
      <c r="B324" s="1239"/>
      <c r="C324" s="1240"/>
      <c r="D324" s="1240"/>
      <c r="E324" s="1241"/>
      <c r="F324" s="1242"/>
    </row>
    <row r="325" spans="1:6">
      <c r="A325" s="1238"/>
      <c r="B325" s="1239"/>
      <c r="C325" s="1240"/>
      <c r="D325" s="1240"/>
      <c r="E325" s="1241"/>
      <c r="F325" s="1242"/>
    </row>
    <row r="326" spans="1:6">
      <c r="A326" s="1238"/>
      <c r="B326" s="1239"/>
      <c r="C326" s="1240"/>
      <c r="D326" s="1240"/>
      <c r="E326" s="1241"/>
      <c r="F326" s="1242"/>
    </row>
    <row r="327" spans="1:6">
      <c r="A327" s="1238"/>
      <c r="B327" s="1239"/>
      <c r="C327" s="1240"/>
      <c r="D327" s="1240"/>
      <c r="E327" s="1241"/>
      <c r="F327" s="1242"/>
    </row>
    <row r="328" spans="1:6">
      <c r="A328" s="1238"/>
      <c r="B328" s="1239"/>
      <c r="C328" s="1240"/>
      <c r="D328" s="1240"/>
      <c r="E328" s="1241"/>
      <c r="F328" s="1242"/>
    </row>
    <row r="329" spans="1:6">
      <c r="A329" s="1238"/>
      <c r="B329" s="1239"/>
      <c r="C329" s="1240"/>
      <c r="D329" s="1240"/>
      <c r="E329" s="1241"/>
      <c r="F329" s="1242"/>
    </row>
    <row r="330" spans="1:6">
      <c r="A330" s="1238"/>
      <c r="B330" s="1239"/>
      <c r="C330" s="1240"/>
      <c r="D330" s="1240"/>
      <c r="E330" s="1241"/>
      <c r="F330" s="1242"/>
    </row>
    <row r="331" spans="1:6">
      <c r="A331" s="1238"/>
      <c r="B331" s="1239"/>
      <c r="C331" s="1240"/>
      <c r="D331" s="1240"/>
      <c r="E331" s="1241"/>
      <c r="F331" s="1242"/>
    </row>
    <row r="332" spans="1:6">
      <c r="A332" s="1238"/>
      <c r="B332" s="1239"/>
      <c r="C332" s="1240"/>
      <c r="D332" s="1240"/>
      <c r="E332" s="1241"/>
      <c r="F332" s="1242"/>
    </row>
    <row r="333" spans="1:6">
      <c r="A333" s="1238"/>
      <c r="B333" s="1239"/>
      <c r="C333" s="1240"/>
      <c r="D333" s="1240"/>
      <c r="E333" s="1241"/>
      <c r="F333" s="1241"/>
    </row>
    <row r="334" spans="1:6">
      <c r="A334" s="1238"/>
      <c r="B334" s="1239"/>
      <c r="C334" s="1240"/>
      <c r="D334" s="1240"/>
      <c r="E334" s="1241"/>
      <c r="F334" s="1241"/>
    </row>
    <row r="335" spans="1:6">
      <c r="A335" s="1238"/>
      <c r="B335" s="1239"/>
      <c r="C335" s="1240"/>
      <c r="D335" s="1240"/>
      <c r="E335" s="1241"/>
      <c r="F335" s="1241"/>
    </row>
    <row r="336" spans="1:6">
      <c r="A336" s="1238"/>
      <c r="B336" s="1239"/>
      <c r="C336" s="1240"/>
      <c r="D336" s="1240"/>
      <c r="E336" s="1241"/>
      <c r="F336" s="1241"/>
    </row>
    <row r="337" spans="1:6">
      <c r="A337" s="1238"/>
      <c r="B337" s="1239"/>
      <c r="C337" s="1240"/>
      <c r="D337" s="1240"/>
      <c r="E337" s="1241"/>
      <c r="F337" s="1241"/>
    </row>
    <row r="338" spans="1:6">
      <c r="A338" s="1238"/>
      <c r="B338" s="1239"/>
      <c r="C338" s="1240"/>
      <c r="D338" s="1240"/>
      <c r="E338" s="1241"/>
      <c r="F338" s="1241"/>
    </row>
    <row r="339" spans="1:6">
      <c r="A339" s="1238"/>
      <c r="B339" s="1239"/>
      <c r="C339" s="1240"/>
      <c r="D339" s="1240"/>
      <c r="E339" s="1241"/>
      <c r="F339" s="1241"/>
    </row>
    <row r="340" spans="1:6">
      <c r="A340" s="1238"/>
      <c r="B340" s="1239"/>
      <c r="C340" s="1240"/>
      <c r="D340" s="1240"/>
      <c r="E340" s="1241"/>
      <c r="F340" s="1241"/>
    </row>
  </sheetData>
  <mergeCells count="8">
    <mergeCell ref="A212:B212"/>
    <mergeCell ref="A2:F2"/>
    <mergeCell ref="A52:F52"/>
    <mergeCell ref="A108:F108"/>
    <mergeCell ref="A160:F160"/>
    <mergeCell ref="A49:D49"/>
    <mergeCell ref="A105:D105"/>
    <mergeCell ref="A157:B157"/>
  </mergeCells>
  <printOptions horizontalCentered="1" verticalCentered="1"/>
  <pageMargins left="0.75" right="0.5" top="0.75" bottom="0.75" header="0.5" footer="0.5"/>
  <pageSetup paperSize="9" scale="90" firstPageNumber="161" orientation="portrait" useFirstPageNumber="1" r:id="rId1"/>
  <headerFooter>
    <oddHeader>&amp;LWater and Sanitation Development Project (WSDP)&amp;RSecond Baricho_Kakuyuni Pipeline</oddHeader>
    <oddFooter>&amp;C&amp;A&amp;R&amp;P</oddFooter>
  </headerFooter>
  <rowBreaks count="1" manualBreakCount="1">
    <brk id="5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6"/>
  <sheetViews>
    <sheetView zoomScaleNormal="90" workbookViewId="0">
      <selection activeCell="A395" sqref="A395"/>
    </sheetView>
  </sheetViews>
  <sheetFormatPr defaultColWidth="8.90625" defaultRowHeight="14.5"/>
  <cols>
    <col min="1" max="1" width="98.6328125" style="1300" customWidth="1"/>
    <col min="2" max="2" width="28.1796875" style="1300" customWidth="1"/>
    <col min="3" max="16384" width="8.90625" style="1300"/>
  </cols>
  <sheetData>
    <row r="1" spans="1:1" ht="21">
      <c r="A1" s="1299" t="s">
        <v>1522</v>
      </c>
    </row>
    <row r="2" spans="1:1" ht="15.5">
      <c r="A2" s="1301"/>
    </row>
    <row r="3" spans="1:1" ht="31">
      <c r="A3" s="1301" t="s">
        <v>1523</v>
      </c>
    </row>
    <row r="4" spans="1:1" ht="15.5">
      <c r="A4" s="1301"/>
    </row>
    <row r="5" spans="1:1" ht="77.5">
      <c r="A5" s="1301" t="s">
        <v>1524</v>
      </c>
    </row>
    <row r="6" spans="1:1" ht="15.5">
      <c r="A6" s="1301"/>
    </row>
    <row r="7" spans="1:1" ht="31">
      <c r="A7" s="1301" t="s">
        <v>1525</v>
      </c>
    </row>
    <row r="8" spans="1:1" ht="15.5">
      <c r="A8" s="1301"/>
    </row>
    <row r="9" spans="1:1" ht="93">
      <c r="A9" s="1301" t="s">
        <v>1526</v>
      </c>
    </row>
    <row r="10" spans="1:1" ht="15.5">
      <c r="A10" s="1301"/>
    </row>
    <row r="11" spans="1:1" ht="77.5">
      <c r="A11" s="1301" t="s">
        <v>1527</v>
      </c>
    </row>
    <row r="12" spans="1:1" ht="15.5">
      <c r="A12" s="1301"/>
    </row>
    <row r="13" spans="1:1" ht="77.5">
      <c r="A13" s="1301" t="s">
        <v>1528</v>
      </c>
    </row>
    <row r="14" spans="1:1" ht="15.5">
      <c r="A14" s="1301"/>
    </row>
    <row r="15" spans="1:1" ht="62">
      <c r="A15" s="1301" t="s">
        <v>1529</v>
      </c>
    </row>
    <row r="16" spans="1:1" ht="15.5">
      <c r="A16" s="1301"/>
    </row>
    <row r="17" spans="1:2" ht="77.5">
      <c r="A17" s="1301" t="s">
        <v>1530</v>
      </c>
    </row>
    <row r="18" spans="1:2" ht="15.5">
      <c r="A18" s="1301"/>
    </row>
    <row r="19" spans="1:2" ht="46.5">
      <c r="A19" s="1301" t="s">
        <v>1531</v>
      </c>
    </row>
    <row r="20" spans="1:2" ht="15.5">
      <c r="A20" s="1301"/>
    </row>
    <row r="21" spans="1:2" ht="77.5">
      <c r="A21" s="1301" t="s">
        <v>1532</v>
      </c>
    </row>
    <row r="22" spans="1:2" ht="15.5">
      <c r="A22" s="1301"/>
    </row>
    <row r="23" spans="1:2" ht="31">
      <c r="A23" s="1301" t="s">
        <v>1533</v>
      </c>
    </row>
    <row r="24" spans="1:2" ht="15.5">
      <c r="A24" s="1301"/>
    </row>
    <row r="25" spans="1:2" ht="31">
      <c r="A25" s="1301" t="s">
        <v>1534</v>
      </c>
    </row>
    <row r="26" spans="1:2" ht="15.5">
      <c r="A26" s="1301"/>
    </row>
    <row r="27" spans="1:2" ht="31">
      <c r="A27" s="1301" t="s">
        <v>1535</v>
      </c>
    </row>
    <row r="28" spans="1:2" ht="15.5">
      <c r="A28" s="1301"/>
    </row>
    <row r="29" spans="1:2" ht="46.5">
      <c r="A29" s="1301" t="s">
        <v>1536</v>
      </c>
    </row>
    <row r="30" spans="1:2" ht="15.5">
      <c r="A30" s="1301"/>
    </row>
    <row r="31" spans="1:2" ht="31">
      <c r="A31" s="1301" t="s">
        <v>1537</v>
      </c>
      <c r="B31" s="1302"/>
    </row>
    <row r="32" spans="1:2" ht="15.5">
      <c r="A32" s="1301" t="s">
        <v>1538</v>
      </c>
      <c r="B32" s="1302"/>
    </row>
    <row r="33" spans="1:2" ht="15.5">
      <c r="A33" s="1301" t="s">
        <v>1539</v>
      </c>
      <c r="B33" s="1302"/>
    </row>
    <row r="34" spans="1:2" ht="15.5">
      <c r="A34" s="1301" t="s">
        <v>1540</v>
      </c>
      <c r="B34" s="1302"/>
    </row>
    <row r="35" spans="1:2" ht="15.5">
      <c r="A35" s="1301" t="s">
        <v>1541</v>
      </c>
      <c r="B35" s="1302"/>
    </row>
    <row r="36" spans="1:2" ht="31">
      <c r="A36" s="1301" t="s">
        <v>1542</v>
      </c>
    </row>
    <row r="37" spans="1:2" ht="62">
      <c r="A37" s="1301" t="s">
        <v>1543</v>
      </c>
    </row>
    <row r="38" spans="1:2" ht="15.5">
      <c r="A38" s="1301"/>
    </row>
    <row r="39" spans="1:2" ht="77.5">
      <c r="A39" s="1301" t="s">
        <v>1544</v>
      </c>
    </row>
    <row r="40" spans="1:2" ht="31">
      <c r="A40" s="1301" t="s">
        <v>1545</v>
      </c>
    </row>
    <row r="41" spans="1:2" ht="15.5">
      <c r="A41" s="1301"/>
    </row>
    <row r="42" spans="1:2" ht="77.5">
      <c r="A42" s="1301" t="s">
        <v>1546</v>
      </c>
    </row>
    <row r="43" spans="1:2" ht="15.5">
      <c r="A43" s="1301"/>
    </row>
    <row r="44" spans="1:2" ht="31">
      <c r="A44" s="1301" t="s">
        <v>1547</v>
      </c>
    </row>
    <row r="45" spans="1:2" ht="15.5">
      <c r="A45" s="1301"/>
    </row>
    <row r="46" spans="1:2" ht="31">
      <c r="A46" s="1301" t="s">
        <v>1548</v>
      </c>
    </row>
    <row r="47" spans="1:2" ht="15.5">
      <c r="A47" s="1301"/>
    </row>
    <row r="48" spans="1:2" ht="15.5">
      <c r="A48" s="1301" t="s">
        <v>1549</v>
      </c>
    </row>
    <row r="49" spans="1:1" ht="15.5">
      <c r="A49" s="1301"/>
    </row>
    <row r="50" spans="1:1" ht="31">
      <c r="A50" s="1301" t="s">
        <v>1550</v>
      </c>
    </row>
    <row r="51" spans="1:1" ht="15.5">
      <c r="A51" s="1301"/>
    </row>
    <row r="52" spans="1:1" ht="46.5">
      <c r="A52" s="1301" t="s">
        <v>1551</v>
      </c>
    </row>
    <row r="53" spans="1:1" ht="31">
      <c r="A53" s="1301" t="s">
        <v>1552</v>
      </c>
    </row>
    <row r="54" spans="1:1" ht="15.5">
      <c r="A54" s="1301" t="s">
        <v>1553</v>
      </c>
    </row>
    <row r="55" spans="1:1" ht="15.5">
      <c r="A55" s="1301"/>
    </row>
    <row r="56" spans="1:1" ht="31">
      <c r="A56" s="1301" t="s">
        <v>1554</v>
      </c>
    </row>
    <row r="57" spans="1:1" ht="15.5">
      <c r="A57" s="1301"/>
    </row>
    <row r="58" spans="1:1" ht="15.5">
      <c r="A58" s="1301" t="s">
        <v>1555</v>
      </c>
    </row>
    <row r="59" spans="1:1" ht="15.5">
      <c r="A59" s="1301"/>
    </row>
    <row r="60" spans="1:1" ht="62">
      <c r="A60" s="1301" t="s">
        <v>1556</v>
      </c>
    </row>
    <row r="61" spans="1:1" ht="15.5">
      <c r="A61" s="1301"/>
    </row>
    <row r="62" spans="1:1" ht="15.5">
      <c r="A62" s="1303" t="s">
        <v>1557</v>
      </c>
    </row>
    <row r="63" spans="1:1" ht="15.5">
      <c r="A63" s="1301"/>
    </row>
    <row r="64" spans="1:1" ht="15.5">
      <c r="A64" s="1301" t="s">
        <v>1558</v>
      </c>
    </row>
    <row r="65" spans="1:5" ht="15.5">
      <c r="A65" s="1301"/>
    </row>
    <row r="66" spans="1:5" ht="62">
      <c r="A66" s="1303" t="s">
        <v>1559</v>
      </c>
    </row>
    <row r="67" spans="1:5" ht="15.5">
      <c r="A67" s="1301"/>
    </row>
    <row r="68" spans="1:5" ht="46.5">
      <c r="A68" s="1303" t="s">
        <v>1560</v>
      </c>
    </row>
    <row r="69" spans="1:5" ht="46.5">
      <c r="A69" s="1301" t="s">
        <v>1561</v>
      </c>
    </row>
    <row r="70" spans="1:5" ht="15.5">
      <c r="A70" s="1301"/>
    </row>
    <row r="71" spans="1:5" ht="77.5">
      <c r="A71" s="1301" t="s">
        <v>1562</v>
      </c>
    </row>
    <row r="72" spans="1:5" ht="15.5">
      <c r="A72" s="1301"/>
    </row>
    <row r="73" spans="1:5" ht="31">
      <c r="A73" s="1301" t="s">
        <v>1563</v>
      </c>
      <c r="B73" s="1302"/>
    </row>
    <row r="74" spans="1:5" ht="15.5">
      <c r="A74" s="1301"/>
    </row>
    <row r="75" spans="1:5" ht="15.5">
      <c r="A75" s="1301" t="s">
        <v>1564</v>
      </c>
    </row>
    <row r="76" spans="1:5" ht="15.5">
      <c r="A76" s="1301"/>
    </row>
    <row r="77" spans="1:5" ht="15.5">
      <c r="A77" s="1304" t="s">
        <v>1565</v>
      </c>
    </row>
    <row r="78" spans="1:5" ht="15.5">
      <c r="A78" s="1301"/>
    </row>
    <row r="79" spans="1:5" ht="15.5">
      <c r="A79" s="1305" t="s">
        <v>1566</v>
      </c>
      <c r="B79" s="1306"/>
      <c r="C79" s="1302"/>
      <c r="E79" s="1302"/>
    </row>
    <row r="80" spans="1:5" ht="15.5">
      <c r="A80" s="1305" t="s">
        <v>1567</v>
      </c>
      <c r="B80" s="1306"/>
      <c r="E80" s="1302"/>
    </row>
    <row r="81" spans="1:5" ht="15.5">
      <c r="A81" s="1305" t="s">
        <v>1568</v>
      </c>
      <c r="B81" s="1306"/>
      <c r="C81" s="1302"/>
      <c r="E81" s="1302"/>
    </row>
    <row r="82" spans="1:5" ht="15.5">
      <c r="A82" s="1305" t="s">
        <v>1569</v>
      </c>
      <c r="B82" s="1306"/>
      <c r="C82" s="1302"/>
      <c r="E82" s="1302"/>
    </row>
    <row r="83" spans="1:5" ht="15.5">
      <c r="A83" s="1305" t="s">
        <v>1570</v>
      </c>
      <c r="B83" s="1306"/>
      <c r="C83" s="1302"/>
      <c r="E83" s="1302"/>
    </row>
    <row r="84" spans="1:5" ht="15.5">
      <c r="A84" s="1305" t="s">
        <v>1571</v>
      </c>
      <c r="B84" s="1306"/>
      <c r="C84" s="1302"/>
      <c r="E84" s="1302"/>
    </row>
    <row r="85" spans="1:5" ht="15.5">
      <c r="A85" s="1305" t="s">
        <v>1572</v>
      </c>
      <c r="B85" s="1306"/>
      <c r="C85" s="1302"/>
      <c r="E85" s="1302"/>
    </row>
    <row r="86" spans="1:5" ht="15.5">
      <c r="A86" s="1305" t="s">
        <v>1573</v>
      </c>
      <c r="B86" s="1306"/>
      <c r="C86" s="1302"/>
      <c r="E86" s="1302"/>
    </row>
    <row r="87" spans="1:5" ht="15.5">
      <c r="A87" s="1305" t="s">
        <v>1574</v>
      </c>
      <c r="B87" s="1306"/>
      <c r="E87" s="1302"/>
    </row>
    <row r="88" spans="1:5" ht="15.5">
      <c r="A88" s="1305" t="s">
        <v>1575</v>
      </c>
      <c r="B88" s="1306"/>
      <c r="C88" s="1302"/>
      <c r="E88" s="1302"/>
    </row>
    <row r="89" spans="1:5" ht="15.5">
      <c r="A89" s="1305" t="s">
        <v>1576</v>
      </c>
      <c r="B89" s="1306"/>
      <c r="C89" s="1302"/>
      <c r="E89" s="1302"/>
    </row>
    <row r="90" spans="1:5" ht="15.5">
      <c r="A90" s="1305" t="s">
        <v>1577</v>
      </c>
      <c r="B90" s="1306"/>
      <c r="C90" s="1302"/>
      <c r="E90" s="1302"/>
    </row>
    <row r="91" spans="1:5" ht="15.5">
      <c r="A91" s="1305" t="s">
        <v>1578</v>
      </c>
      <c r="B91" s="1306"/>
      <c r="C91" s="1302"/>
      <c r="E91" s="1302"/>
    </row>
    <row r="92" spans="1:5" ht="15.5">
      <c r="A92" s="1305" t="s">
        <v>1579</v>
      </c>
      <c r="B92" s="1306"/>
      <c r="C92" s="1302"/>
      <c r="E92" s="1302"/>
    </row>
    <row r="93" spans="1:5" ht="15.5">
      <c r="A93" s="1305" t="s">
        <v>1580</v>
      </c>
      <c r="B93" s="1306"/>
      <c r="C93" s="1302"/>
      <c r="E93" s="1302"/>
    </row>
    <row r="94" spans="1:5" ht="15.5">
      <c r="A94" s="1305" t="s">
        <v>1581</v>
      </c>
      <c r="B94" s="1306"/>
      <c r="C94" s="1302"/>
      <c r="E94" s="1302"/>
    </row>
    <row r="95" spans="1:5" ht="15.5">
      <c r="A95" s="1305" t="s">
        <v>1582</v>
      </c>
      <c r="B95" s="1306"/>
      <c r="C95" s="1302"/>
      <c r="E95" s="1302"/>
    </row>
    <row r="96" spans="1:5" ht="15.5">
      <c r="A96" s="1305" t="s">
        <v>1583</v>
      </c>
      <c r="B96" s="1306"/>
      <c r="C96" s="1302"/>
      <c r="E96" s="1302"/>
    </row>
    <row r="97" spans="1:5" ht="15.5">
      <c r="A97" s="1305" t="s">
        <v>1584</v>
      </c>
      <c r="B97" s="1306"/>
      <c r="C97" s="1302"/>
      <c r="E97" s="1302"/>
    </row>
    <row r="98" spans="1:5" ht="15.5">
      <c r="A98" s="1305" t="s">
        <v>1585</v>
      </c>
      <c r="B98" s="1306"/>
      <c r="C98" s="1302"/>
      <c r="E98" s="1302"/>
    </row>
    <row r="99" spans="1:5" ht="15.5">
      <c r="A99" s="1305" t="s">
        <v>1586</v>
      </c>
      <c r="B99" s="1306"/>
      <c r="E99" s="1302"/>
    </row>
    <row r="100" spans="1:5" ht="15.5">
      <c r="A100" s="1305" t="s">
        <v>1587</v>
      </c>
      <c r="B100" s="1306"/>
      <c r="E100" s="1302"/>
    </row>
    <row r="101" spans="1:5" ht="15.5">
      <c r="A101" s="1305" t="s">
        <v>1588</v>
      </c>
      <c r="B101" s="1306"/>
      <c r="E101" s="1302"/>
    </row>
    <row r="102" spans="1:5" ht="15.5">
      <c r="A102" s="1305" t="s">
        <v>1589</v>
      </c>
      <c r="B102" s="1307"/>
      <c r="C102" s="1302"/>
      <c r="E102" s="1302"/>
    </row>
    <row r="103" spans="1:5" ht="15.5">
      <c r="A103" s="1305" t="s">
        <v>1590</v>
      </c>
      <c r="B103" s="1306"/>
      <c r="C103" s="1302"/>
      <c r="E103" s="1302"/>
    </row>
    <row r="104" spans="1:5" ht="15.5">
      <c r="A104" s="1305" t="s">
        <v>1591</v>
      </c>
      <c r="B104" s="1306"/>
      <c r="C104" s="1302"/>
      <c r="E104" s="1302"/>
    </row>
    <row r="105" spans="1:5" ht="15.5">
      <c r="A105" s="1305" t="s">
        <v>1592</v>
      </c>
      <c r="B105" s="1307"/>
      <c r="E105" s="1302"/>
    </row>
    <row r="106" spans="1:5" ht="15.5">
      <c r="A106" s="1305" t="s">
        <v>1593</v>
      </c>
      <c r="B106" s="1307"/>
      <c r="E106" s="1302"/>
    </row>
    <row r="107" spans="1:5" ht="15.5">
      <c r="A107" s="1305" t="s">
        <v>1594</v>
      </c>
      <c r="B107" s="1306"/>
      <c r="C107" s="1302"/>
      <c r="E107" s="1302"/>
    </row>
    <row r="108" spans="1:5" ht="15.5">
      <c r="A108" s="1305" t="s">
        <v>1595</v>
      </c>
      <c r="B108" s="1307"/>
      <c r="E108" s="1302"/>
    </row>
    <row r="109" spans="1:5" ht="15.5">
      <c r="A109" s="1305" t="s">
        <v>1596</v>
      </c>
      <c r="B109" s="1306"/>
      <c r="E109" s="1302"/>
    </row>
    <row r="110" spans="1:5" ht="15.5">
      <c r="A110" s="1305" t="s">
        <v>1597</v>
      </c>
      <c r="B110" s="1306"/>
      <c r="C110" s="1302"/>
      <c r="E110" s="1302"/>
    </row>
    <row r="111" spans="1:5" ht="15.5">
      <c r="A111" s="1305" t="s">
        <v>1598</v>
      </c>
      <c r="B111" s="1306"/>
      <c r="C111" s="1302"/>
      <c r="E111" s="1302"/>
    </row>
    <row r="112" spans="1:5" ht="15.5">
      <c r="A112" s="1305" t="s">
        <v>1599</v>
      </c>
      <c r="B112" s="1306"/>
      <c r="C112" s="1302"/>
      <c r="E112" s="1302"/>
    </row>
    <row r="113" spans="1:5" ht="15.5">
      <c r="A113" s="1305" t="s">
        <v>1600</v>
      </c>
      <c r="B113" s="1306"/>
      <c r="E113" s="1302"/>
    </row>
    <row r="114" spans="1:5" ht="15.5">
      <c r="A114" s="1301"/>
    </row>
    <row r="115" spans="1:5" ht="46.5">
      <c r="A115" s="1301" t="s">
        <v>1601</v>
      </c>
    </row>
    <row r="116" spans="1:5" ht="15.5">
      <c r="A116" s="1301"/>
    </row>
    <row r="117" spans="1:5" ht="46.5">
      <c r="A117" s="1301" t="s">
        <v>1602</v>
      </c>
    </row>
    <row r="118" spans="1:5" ht="15.5">
      <c r="A118" s="1301"/>
    </row>
    <row r="119" spans="1:5" ht="15.5">
      <c r="A119" s="1301" t="s">
        <v>1603</v>
      </c>
    </row>
    <row r="120" spans="1:5" ht="15.5">
      <c r="A120" s="1301"/>
    </row>
    <row r="121" spans="1:5" ht="15.5">
      <c r="A121" s="1308" t="s">
        <v>1752</v>
      </c>
      <c r="B121" s="1302"/>
      <c r="C121" s="1302" t="s">
        <v>1604</v>
      </c>
      <c r="D121" s="1309"/>
    </row>
    <row r="122" spans="1:5" ht="15.5">
      <c r="A122" s="1301"/>
    </row>
    <row r="123" spans="1:5" ht="15.5">
      <c r="A123" s="1301" t="s">
        <v>1751</v>
      </c>
      <c r="B123" s="1302" t="s">
        <v>1604</v>
      </c>
    </row>
    <row r="124" spans="1:5" ht="15.5">
      <c r="A124" s="1301"/>
    </row>
    <row r="125" spans="1:5" ht="31">
      <c r="A125" s="1301" t="s">
        <v>1605</v>
      </c>
    </row>
    <row r="126" spans="1:5" ht="15.5">
      <c r="A126" s="1301"/>
    </row>
    <row r="127" spans="1:5" ht="15.5">
      <c r="A127" s="1301" t="s">
        <v>1606</v>
      </c>
      <c r="B127" s="1302"/>
    </row>
    <row r="128" spans="1:5" ht="15.5">
      <c r="A128" s="1301" t="s">
        <v>1607</v>
      </c>
      <c r="B128" s="1302"/>
    </row>
    <row r="129" spans="1:2" ht="15.5">
      <c r="A129" s="1301"/>
    </row>
    <row r="130" spans="1:2" ht="31">
      <c r="A130" s="1301" t="s">
        <v>1608</v>
      </c>
    </row>
    <row r="131" spans="1:2" ht="15.5">
      <c r="A131" s="1301" t="s">
        <v>1609</v>
      </c>
    </row>
    <row r="132" spans="1:2" ht="15.5">
      <c r="A132" s="1301"/>
    </row>
    <row r="133" spans="1:2" ht="15.5">
      <c r="A133" s="1301" t="s">
        <v>1610</v>
      </c>
    </row>
    <row r="134" spans="1:2" ht="15.5">
      <c r="A134" s="1301"/>
    </row>
    <row r="135" spans="1:2" ht="15.5">
      <c r="A135" s="1301" t="s">
        <v>1611</v>
      </c>
    </row>
    <row r="136" spans="1:2" ht="15.5">
      <c r="A136" s="1301"/>
    </row>
    <row r="137" spans="1:2" ht="15.5">
      <c r="A137" s="1301" t="s">
        <v>1612</v>
      </c>
    </row>
    <row r="138" spans="1:2" ht="15.5">
      <c r="A138" s="1301"/>
    </row>
    <row r="139" spans="1:2" ht="15.5">
      <c r="A139" s="1301" t="s">
        <v>1613</v>
      </c>
    </row>
    <row r="140" spans="1:2" ht="15.5">
      <c r="A140" s="1310"/>
      <c r="B140" s="1302"/>
    </row>
    <row r="141" spans="1:2" ht="15.5">
      <c r="A141" s="1301" t="s">
        <v>1614</v>
      </c>
    </row>
    <row r="142" spans="1:2" ht="15.5">
      <c r="A142" s="1301"/>
    </row>
    <row r="143" spans="1:2" ht="15.5">
      <c r="A143" s="1301" t="s">
        <v>1615</v>
      </c>
    </row>
    <row r="144" spans="1:2" ht="15.5">
      <c r="A144" s="1301"/>
    </row>
    <row r="145" spans="1:4" ht="15.5">
      <c r="A145" s="1301" t="s">
        <v>1616</v>
      </c>
    </row>
    <row r="146" spans="1:4" ht="15.5">
      <c r="A146" s="1310"/>
      <c r="B146" s="1302"/>
    </row>
    <row r="147" spans="1:4" ht="15.5">
      <c r="A147" s="1301" t="s">
        <v>1617</v>
      </c>
    </row>
    <row r="148" spans="1:4" ht="15.5">
      <c r="A148" s="1301"/>
    </row>
    <row r="149" spans="1:4" ht="31">
      <c r="A149" s="1301" t="s">
        <v>1618</v>
      </c>
    </row>
    <row r="150" spans="1:4" ht="15.5">
      <c r="A150" s="1310"/>
      <c r="B150" s="1302"/>
    </row>
    <row r="151" spans="1:4" ht="15.5">
      <c r="A151" s="1301" t="s">
        <v>1619</v>
      </c>
    </row>
    <row r="152" spans="1:4" ht="15.5">
      <c r="A152" s="1310"/>
      <c r="B152" s="1302"/>
    </row>
    <row r="153" spans="1:4" ht="15.5">
      <c r="A153" s="1301"/>
    </row>
    <row r="154" spans="1:4" ht="15.5">
      <c r="A154" s="1301" t="s">
        <v>1620</v>
      </c>
      <c r="C154" s="1302"/>
      <c r="D154" s="1309"/>
    </row>
    <row r="155" spans="1:4" ht="15.5">
      <c r="A155" s="1301" t="s">
        <v>1621</v>
      </c>
    </row>
    <row r="156" spans="1:4" ht="15.5">
      <c r="A156" s="1310"/>
      <c r="C156" s="1302"/>
      <c r="D156" s="1302"/>
    </row>
    <row r="157" spans="1:4" ht="77.5">
      <c r="A157" s="1301" t="s">
        <v>1622</v>
      </c>
    </row>
    <row r="158" spans="1:4" ht="15.5">
      <c r="A158" s="1301"/>
    </row>
    <row r="159" spans="1:4" ht="15.5">
      <c r="A159" s="1301" t="s">
        <v>1623</v>
      </c>
    </row>
    <row r="160" spans="1:4" ht="15.5">
      <c r="A160" s="1301"/>
    </row>
    <row r="161" spans="1:4" ht="15.5">
      <c r="A161" s="1301" t="s">
        <v>1750</v>
      </c>
      <c r="B161" s="1302"/>
      <c r="C161" s="1309"/>
    </row>
    <row r="162" spans="1:4" ht="15.5">
      <c r="A162" s="1301"/>
    </row>
    <row r="163" spans="1:4" ht="15.5">
      <c r="A163" s="1324" t="s">
        <v>1749</v>
      </c>
      <c r="C163" s="1302" t="s">
        <v>1604</v>
      </c>
      <c r="D163" s="1302"/>
    </row>
    <row r="164" spans="1:4" ht="15.5">
      <c r="A164" s="1301"/>
    </row>
    <row r="165" spans="1:4" ht="31">
      <c r="A165" s="1301" t="s">
        <v>1624</v>
      </c>
    </row>
    <row r="166" spans="1:4" ht="15.5">
      <c r="A166" s="1301"/>
    </row>
    <row r="167" spans="1:4" ht="15.5">
      <c r="A167" s="1301" t="s">
        <v>1625</v>
      </c>
    </row>
    <row r="168" spans="1:4" ht="15.5">
      <c r="A168" s="1301"/>
    </row>
    <row r="169" spans="1:4" ht="31.75" customHeight="1">
      <c r="A169" s="1311" t="s">
        <v>1626</v>
      </c>
      <c r="B169" s="1302"/>
      <c r="C169" s="1309"/>
    </row>
    <row r="170" spans="1:4" ht="15.5">
      <c r="A170" s="1301"/>
    </row>
    <row r="171" spans="1:4" ht="15.5">
      <c r="A171" s="1311" t="s">
        <v>1627</v>
      </c>
      <c r="C171" s="1302"/>
      <c r="D171" s="1302"/>
    </row>
    <row r="172" spans="1:4" ht="15.5">
      <c r="A172" s="1311"/>
      <c r="C172" s="1302"/>
      <c r="D172" s="1302"/>
    </row>
    <row r="173" spans="1:4" ht="31">
      <c r="A173" s="1301" t="s">
        <v>1628</v>
      </c>
    </row>
    <row r="174" spans="1:4" ht="15.5">
      <c r="A174" s="1301"/>
    </row>
    <row r="175" spans="1:4" ht="15.5">
      <c r="A175" s="1301" t="s">
        <v>1629</v>
      </c>
    </row>
    <row r="176" spans="1:4" ht="15.5">
      <c r="A176" s="1301"/>
    </row>
    <row r="177" spans="1:3" ht="31">
      <c r="A177" s="1301" t="s">
        <v>1630</v>
      </c>
    </row>
    <row r="178" spans="1:3" ht="15.5">
      <c r="A178" s="1301"/>
    </row>
    <row r="179" spans="1:3" ht="15.5">
      <c r="A179" s="1301" t="s">
        <v>1631</v>
      </c>
      <c r="B179" s="1302"/>
      <c r="C179" s="1309"/>
    </row>
    <row r="180" spans="1:3" ht="15.5">
      <c r="A180" s="1301"/>
    </row>
    <row r="181" spans="1:3" ht="15.5">
      <c r="A181" s="1310" t="s">
        <v>1632</v>
      </c>
      <c r="B181" s="1302"/>
      <c r="C181" s="1302"/>
    </row>
    <row r="182" spans="1:3" ht="15.5">
      <c r="A182" s="1301"/>
    </row>
    <row r="183" spans="1:3" ht="77.5">
      <c r="A183" s="1301" t="s">
        <v>1633</v>
      </c>
    </row>
    <row r="184" spans="1:3" ht="15.5">
      <c r="A184" s="1301"/>
    </row>
    <row r="185" spans="1:3" ht="31">
      <c r="A185" s="1301" t="s">
        <v>1634</v>
      </c>
    </row>
    <row r="186" spans="1:3" ht="15.5">
      <c r="A186" s="1301"/>
    </row>
    <row r="187" spans="1:3" ht="15.5">
      <c r="A187" s="1301" t="s">
        <v>1635</v>
      </c>
    </row>
    <row r="188" spans="1:3" ht="15.5">
      <c r="A188" s="1301"/>
    </row>
    <row r="189" spans="1:3" ht="15.5">
      <c r="A189" s="1312" t="s">
        <v>1636</v>
      </c>
      <c r="B189" s="1302"/>
    </row>
    <row r="190" spans="1:3" ht="15.5">
      <c r="A190" s="1301"/>
    </row>
    <row r="191" spans="1:3" ht="15.5">
      <c r="A191" s="1310" t="s">
        <v>1637</v>
      </c>
      <c r="B191" s="1302"/>
    </row>
    <row r="192" spans="1:3" ht="15.5">
      <c r="A192" s="1301"/>
    </row>
    <row r="193" spans="1:4" ht="15.5">
      <c r="A193" s="1310" t="s">
        <v>1638</v>
      </c>
      <c r="B193" s="1302"/>
    </row>
    <row r="194" spans="1:4" ht="15.5">
      <c r="A194" s="1301"/>
    </row>
    <row r="195" spans="1:4" ht="15.5">
      <c r="A195" s="1310" t="s">
        <v>1639</v>
      </c>
      <c r="B195" s="1302"/>
    </row>
    <row r="196" spans="1:4" ht="15.5">
      <c r="A196" s="1301"/>
    </row>
    <row r="197" spans="1:4" ht="15.5">
      <c r="A197" s="1310" t="s">
        <v>1640</v>
      </c>
      <c r="B197" s="1302"/>
    </row>
    <row r="198" spans="1:4" ht="15.5">
      <c r="A198" s="1301"/>
    </row>
    <row r="199" spans="1:4" ht="46.5">
      <c r="A199" s="1301" t="s">
        <v>1641</v>
      </c>
    </row>
    <row r="200" spans="1:4" ht="15.5">
      <c r="A200" s="1301"/>
    </row>
    <row r="201" spans="1:4" ht="46.5">
      <c r="A201" s="1301" t="s">
        <v>1642</v>
      </c>
    </row>
    <row r="202" spans="1:4" ht="15.5">
      <c r="A202" s="1301"/>
    </row>
    <row r="203" spans="1:4" ht="93">
      <c r="A203" s="1301" t="s">
        <v>1643</v>
      </c>
    </row>
    <row r="204" spans="1:4" ht="15.5">
      <c r="A204" s="1301"/>
    </row>
    <row r="205" spans="1:4" ht="15.5">
      <c r="A205" s="1310" t="s">
        <v>1644</v>
      </c>
      <c r="B205" s="1302"/>
      <c r="C205" s="1302" t="s">
        <v>1604</v>
      </c>
      <c r="D205" s="1309"/>
    </row>
    <row r="206" spans="1:4" ht="15.5">
      <c r="A206" s="1301"/>
    </row>
    <row r="207" spans="1:4" ht="15.5">
      <c r="A207" s="1310" t="s">
        <v>1645</v>
      </c>
      <c r="C207" s="1302" t="s">
        <v>1604</v>
      </c>
      <c r="D207" s="1302"/>
    </row>
    <row r="208" spans="1:4" ht="15.5">
      <c r="A208" s="1301"/>
    </row>
    <row r="209" spans="1:4" ht="15.5">
      <c r="A209" s="1324" t="s">
        <v>1753</v>
      </c>
      <c r="B209" s="1302"/>
      <c r="C209" s="1302" t="s">
        <v>1604</v>
      </c>
      <c r="D209" s="1309"/>
    </row>
    <row r="210" spans="1:4" ht="15.5">
      <c r="A210" s="1301"/>
    </row>
    <row r="211" spans="1:4" ht="15.5">
      <c r="A211" s="1324" t="s">
        <v>1754</v>
      </c>
      <c r="C211" s="1302" t="s">
        <v>1604</v>
      </c>
      <c r="D211" s="1302"/>
    </row>
    <row r="212" spans="1:4" ht="15.5">
      <c r="A212" s="1301"/>
    </row>
    <row r="213" spans="1:4" ht="15.5">
      <c r="A213" s="1301"/>
    </row>
    <row r="214" spans="1:4" ht="31">
      <c r="A214" s="1313" t="s">
        <v>1646</v>
      </c>
    </row>
    <row r="215" spans="1:4" ht="15.5">
      <c r="A215" s="1301"/>
    </row>
    <row r="216" spans="1:4" ht="15.5">
      <c r="A216" s="1301" t="s">
        <v>1755</v>
      </c>
      <c r="B216" s="1302"/>
      <c r="C216" s="1309"/>
    </row>
    <row r="217" spans="1:4" ht="15.5">
      <c r="A217" s="1301"/>
    </row>
    <row r="218" spans="1:4" ht="15.5">
      <c r="A218" s="1324" t="s">
        <v>1756</v>
      </c>
      <c r="B218" s="1302"/>
      <c r="C218" s="1302"/>
    </row>
    <row r="219" spans="1:4" ht="15.5">
      <c r="A219" s="1301"/>
    </row>
    <row r="220" spans="1:4" ht="31">
      <c r="A220" s="1301" t="s">
        <v>1647</v>
      </c>
    </row>
    <row r="221" spans="1:4" ht="15.5">
      <c r="A221" s="1301"/>
    </row>
    <row r="222" spans="1:4" ht="31">
      <c r="A222" s="1301" t="s">
        <v>1648</v>
      </c>
    </row>
    <row r="223" spans="1:4" ht="15.5">
      <c r="A223" s="1301"/>
    </row>
    <row r="224" spans="1:4" ht="31">
      <c r="A224" s="1301" t="s">
        <v>1649</v>
      </c>
    </row>
    <row r="225" spans="1:3" ht="15.5">
      <c r="A225" s="1301"/>
    </row>
    <row r="226" spans="1:3" ht="15.5">
      <c r="A226" s="1301" t="s">
        <v>1758</v>
      </c>
      <c r="B226" s="1302"/>
      <c r="C226" s="1309"/>
    </row>
    <row r="227" spans="1:3" ht="15.5">
      <c r="A227" s="1301"/>
    </row>
    <row r="228" spans="1:3" ht="15.5">
      <c r="A228" s="1324" t="s">
        <v>1757</v>
      </c>
      <c r="B228" s="1302"/>
      <c r="C228" s="1302"/>
    </row>
    <row r="229" spans="1:3" ht="15.5">
      <c r="A229" s="1301"/>
    </row>
    <row r="230" spans="1:3" ht="31">
      <c r="A230" s="1313" t="s">
        <v>1650</v>
      </c>
    </row>
    <row r="231" spans="1:3" ht="15.5">
      <c r="A231" s="1301"/>
    </row>
    <row r="232" spans="1:3" ht="15.5">
      <c r="A232" s="1301" t="s">
        <v>1760</v>
      </c>
      <c r="B232" s="1302"/>
      <c r="C232" s="1309"/>
    </row>
    <row r="233" spans="1:3" ht="15.5">
      <c r="A233" s="1301"/>
    </row>
    <row r="234" spans="1:3" ht="15.5">
      <c r="A234" s="1324" t="s">
        <v>1759</v>
      </c>
      <c r="B234" s="1302"/>
      <c r="C234" s="1302"/>
    </row>
    <row r="235" spans="1:3" ht="15.5">
      <c r="A235" s="1301"/>
    </row>
    <row r="236" spans="1:3" ht="15.5">
      <c r="A236" s="1301" t="s">
        <v>1651</v>
      </c>
    </row>
    <row r="237" spans="1:3" ht="15.5">
      <c r="A237" s="1301"/>
    </row>
    <row r="238" spans="1:3" ht="15.5">
      <c r="A238" s="1310" t="s">
        <v>1652</v>
      </c>
      <c r="B238" s="1302"/>
    </row>
    <row r="239" spans="1:3" ht="15.5">
      <c r="A239" s="1301"/>
    </row>
    <row r="240" spans="1:3" ht="15.5">
      <c r="A240" s="1310" t="s">
        <v>1653</v>
      </c>
      <c r="B240" s="1302"/>
    </row>
    <row r="241" spans="1:3" ht="15.5">
      <c r="A241" s="1301"/>
    </row>
    <row r="242" spans="1:3" ht="15.5">
      <c r="A242" s="1301" t="s">
        <v>1654</v>
      </c>
    </row>
    <row r="243" spans="1:3" ht="15.5">
      <c r="A243" s="1301"/>
    </row>
    <row r="244" spans="1:3" ht="62">
      <c r="A244" s="1301" t="s">
        <v>1655</v>
      </c>
    </row>
    <row r="245" spans="1:3" ht="15.5">
      <c r="A245" s="1301"/>
    </row>
    <row r="246" spans="1:3" ht="93">
      <c r="A246" s="1301" t="s">
        <v>1656</v>
      </c>
    </row>
    <row r="247" spans="1:3" ht="15.5">
      <c r="A247" s="1301"/>
    </row>
    <row r="248" spans="1:3" ht="15.5">
      <c r="A248" s="1301" t="s">
        <v>1761</v>
      </c>
      <c r="B248" s="1302"/>
      <c r="C248" s="1309"/>
    </row>
    <row r="249" spans="1:3" ht="15.5">
      <c r="A249" s="1301"/>
    </row>
    <row r="250" spans="1:3" ht="15.5">
      <c r="A250" s="1324" t="s">
        <v>1762</v>
      </c>
      <c r="B250" s="1302"/>
      <c r="C250" s="1302"/>
    </row>
    <row r="251" spans="1:3" ht="15.5">
      <c r="A251" s="1301"/>
    </row>
    <row r="252" spans="1:3" ht="31">
      <c r="A252" s="1301" t="s">
        <v>1657</v>
      </c>
    </row>
    <row r="253" spans="1:3" ht="15.5">
      <c r="A253" s="1301"/>
    </row>
    <row r="254" spans="1:3" ht="15.5">
      <c r="A254" s="1301" t="s">
        <v>1658</v>
      </c>
    </row>
    <row r="255" spans="1:3" ht="15.5">
      <c r="A255" s="1301"/>
    </row>
    <row r="256" spans="1:3" ht="15.5">
      <c r="A256" s="1308" t="s">
        <v>1659</v>
      </c>
      <c r="B256" s="1309"/>
    </row>
    <row r="257" spans="1:1" ht="15.5">
      <c r="A257" s="1301"/>
    </row>
    <row r="258" spans="1:1" ht="46.5">
      <c r="A258" s="1301" t="s">
        <v>1660</v>
      </c>
    </row>
    <row r="259" spans="1:1" ht="15.5">
      <c r="A259" s="1301"/>
    </row>
    <row r="260" spans="1:1" ht="46.5">
      <c r="A260" s="1301" t="s">
        <v>1661</v>
      </c>
    </row>
    <row r="261" spans="1:1" ht="15.5">
      <c r="A261" s="1301"/>
    </row>
    <row r="262" spans="1:1" ht="15.5">
      <c r="A262" s="1301" t="s">
        <v>1662</v>
      </c>
    </row>
    <row r="263" spans="1:1" ht="15.5">
      <c r="A263" s="1301"/>
    </row>
    <row r="264" spans="1:1" ht="15.5">
      <c r="A264" s="1301" t="s">
        <v>1663</v>
      </c>
    </row>
    <row r="265" spans="1:1" ht="15.5">
      <c r="A265" s="1301" t="s">
        <v>1664</v>
      </c>
    </row>
    <row r="266" spans="1:1" ht="15.5">
      <c r="A266" s="1301"/>
    </row>
    <row r="267" spans="1:1" ht="15.5">
      <c r="A267" s="1301" t="s">
        <v>1665</v>
      </c>
    </row>
    <row r="268" spans="1:1" ht="15.5">
      <c r="A268" s="1301"/>
    </row>
    <row r="269" spans="1:1" ht="15.5">
      <c r="A269" s="1301" t="s">
        <v>1666</v>
      </c>
    </row>
    <row r="270" spans="1:1" ht="15.5">
      <c r="A270" s="1301"/>
    </row>
    <row r="271" spans="1:1" ht="15.5">
      <c r="A271" s="1301" t="s">
        <v>1667</v>
      </c>
    </row>
    <row r="272" spans="1:1" ht="15.5">
      <c r="A272" s="1301"/>
    </row>
    <row r="273" spans="1:1" ht="15.5">
      <c r="A273" s="1301" t="s">
        <v>1668</v>
      </c>
    </row>
    <row r="274" spans="1:1" ht="15.5">
      <c r="A274" s="1301"/>
    </row>
    <row r="275" spans="1:1" ht="15.5">
      <c r="A275" s="1301" t="s">
        <v>1669</v>
      </c>
    </row>
    <row r="276" spans="1:1" ht="15.5">
      <c r="A276" s="1301"/>
    </row>
    <row r="277" spans="1:1" ht="15.5">
      <c r="A277" s="1301" t="s">
        <v>1670</v>
      </c>
    </row>
    <row r="278" spans="1:1" ht="15.5">
      <c r="A278" s="1301"/>
    </row>
    <row r="279" spans="1:1" ht="15.5">
      <c r="A279" s="1301" t="s">
        <v>1671</v>
      </c>
    </row>
    <row r="280" spans="1:1" ht="15.5">
      <c r="A280" s="1301"/>
    </row>
    <row r="281" spans="1:1" ht="15.5">
      <c r="A281" s="1301" t="s">
        <v>1672</v>
      </c>
    </row>
    <row r="282" spans="1:1" ht="15.5">
      <c r="A282" s="1301"/>
    </row>
    <row r="283" spans="1:1" ht="15.5">
      <c r="A283" s="1301" t="s">
        <v>1673</v>
      </c>
    </row>
    <row r="284" spans="1:1" ht="15.5">
      <c r="A284" s="1301"/>
    </row>
    <row r="285" spans="1:1" ht="15.5">
      <c r="A285" s="1301" t="s">
        <v>1674</v>
      </c>
    </row>
    <row r="286" spans="1:1" ht="15.5">
      <c r="A286" s="1301"/>
    </row>
    <row r="287" spans="1:1" ht="15.5">
      <c r="A287" s="1301" t="s">
        <v>1675</v>
      </c>
    </row>
    <row r="288" spans="1:1" ht="15.5">
      <c r="A288" s="1301"/>
    </row>
    <row r="289" spans="1:1" ht="15.5">
      <c r="A289" s="1301" t="s">
        <v>1676</v>
      </c>
    </row>
    <row r="290" spans="1:1" ht="15.5">
      <c r="A290" s="1301"/>
    </row>
    <row r="291" spans="1:1" ht="15.5">
      <c r="A291" s="1301" t="s">
        <v>1677</v>
      </c>
    </row>
    <row r="292" spans="1:1" ht="15.5">
      <c r="A292" s="1301"/>
    </row>
    <row r="293" spans="1:1" ht="15.5">
      <c r="A293" s="1301" t="s">
        <v>1678</v>
      </c>
    </row>
    <row r="294" spans="1:1" ht="15.5">
      <c r="A294" s="1301"/>
    </row>
    <row r="295" spans="1:1" ht="31">
      <c r="A295" s="1301" t="s">
        <v>1679</v>
      </c>
    </row>
    <row r="296" spans="1:1" ht="15.5">
      <c r="A296" s="1301"/>
    </row>
    <row r="297" spans="1:1" ht="31">
      <c r="A297" s="1301" t="s">
        <v>1680</v>
      </c>
    </row>
    <row r="298" spans="1:1" ht="15.5">
      <c r="A298" s="1301"/>
    </row>
    <row r="299" spans="1:1" ht="15.5">
      <c r="A299" s="1301" t="s">
        <v>1681</v>
      </c>
    </row>
    <row r="300" spans="1:1" ht="15.5">
      <c r="A300" s="1301"/>
    </row>
    <row r="301" spans="1:1" ht="31">
      <c r="A301" s="1301" t="s">
        <v>1682</v>
      </c>
    </row>
    <row r="302" spans="1:1" ht="15.5">
      <c r="A302" s="1301"/>
    </row>
    <row r="303" spans="1:1" ht="15.5">
      <c r="A303" s="1301" t="s">
        <v>1683</v>
      </c>
    </row>
    <row r="304" spans="1:1" ht="15.5">
      <c r="A304" s="1301"/>
    </row>
    <row r="305" spans="1:2" ht="15.5">
      <c r="A305" s="1301" t="s">
        <v>1684</v>
      </c>
    </row>
    <row r="306" spans="1:2" ht="15.5">
      <c r="A306" s="1301"/>
    </row>
    <row r="307" spans="1:2" ht="15.5">
      <c r="A307" s="1301" t="s">
        <v>1685</v>
      </c>
    </row>
    <row r="308" spans="1:2" ht="15.5">
      <c r="A308" s="1301"/>
    </row>
    <row r="309" spans="1:2" ht="15.5">
      <c r="A309" s="1308" t="s">
        <v>1686</v>
      </c>
    </row>
    <row r="310" spans="1:2" ht="15.5">
      <c r="A310" s="1301"/>
    </row>
    <row r="311" spans="1:2" ht="15.5">
      <c r="A311" s="1314" t="s">
        <v>1687</v>
      </c>
      <c r="B311" s="1314"/>
    </row>
    <row r="312" spans="1:2" ht="15.5">
      <c r="A312" s="1315" t="s">
        <v>1688</v>
      </c>
      <c r="B312" s="1315"/>
    </row>
    <row r="313" spans="1:2" ht="15.5">
      <c r="A313" s="1313" t="s">
        <v>1689</v>
      </c>
      <c r="B313" s="1313"/>
    </row>
    <row r="314" spans="1:2" ht="15.5">
      <c r="A314" s="1313" t="s">
        <v>1690</v>
      </c>
      <c r="B314" s="1313"/>
    </row>
    <row r="315" spans="1:2" ht="15.5">
      <c r="A315" s="1313" t="s">
        <v>1691</v>
      </c>
      <c r="B315" s="1313"/>
    </row>
    <row r="316" spans="1:2" ht="15.5">
      <c r="A316" s="1313" t="s">
        <v>1692</v>
      </c>
      <c r="B316" s="1313"/>
    </row>
    <row r="317" spans="1:2" ht="15.5">
      <c r="A317" s="1313" t="s">
        <v>1693</v>
      </c>
      <c r="B317" s="1313"/>
    </row>
    <row r="318" spans="1:2" ht="15.5">
      <c r="A318" s="1313" t="s">
        <v>1694</v>
      </c>
      <c r="B318" s="1313"/>
    </row>
    <row r="319" spans="1:2" ht="15.5">
      <c r="A319" s="1313" t="s">
        <v>1695</v>
      </c>
      <c r="B319" s="1313"/>
    </row>
    <row r="320" spans="1:2" ht="15.5">
      <c r="A320" s="1313" t="s">
        <v>1696</v>
      </c>
      <c r="B320" s="1313"/>
    </row>
    <row r="321" spans="1:9" ht="15.5">
      <c r="A321" s="1313" t="s">
        <v>1697</v>
      </c>
      <c r="B321" s="1313"/>
    </row>
    <row r="322" spans="1:9" ht="15.5">
      <c r="A322" s="1316" t="s">
        <v>1698</v>
      </c>
      <c r="B322" s="1316"/>
    </row>
    <row r="323" spans="1:9">
      <c r="A323" s="1310"/>
      <c r="B323" s="1317"/>
    </row>
    <row r="324" spans="1:9" ht="15.5">
      <c r="A324" s="1301" t="s">
        <v>1699</v>
      </c>
      <c r="B324" s="1317"/>
    </row>
    <row r="325" spans="1:9" ht="15.5">
      <c r="A325" s="1301"/>
      <c r="B325" s="1317"/>
    </row>
    <row r="326" spans="1:9" ht="15.5">
      <c r="A326" s="1301" t="s">
        <v>1700</v>
      </c>
      <c r="B326" s="1317"/>
    </row>
    <row r="327" spans="1:9" ht="15.5">
      <c r="A327" s="1301"/>
      <c r="B327" s="1317"/>
    </row>
    <row r="328" spans="1:9" ht="15.5">
      <c r="A328" s="1314" t="s">
        <v>1701</v>
      </c>
      <c r="B328" s="1315"/>
      <c r="E328" s="1309"/>
    </row>
    <row r="329" spans="1:9" ht="15.5">
      <c r="A329" s="1318" t="s">
        <v>1702</v>
      </c>
      <c r="B329" s="1315"/>
      <c r="F329" s="1309"/>
    </row>
    <row r="330" spans="1:9" ht="15.5">
      <c r="A330" s="1319" t="s">
        <v>1703</v>
      </c>
      <c r="B330" s="1319"/>
    </row>
    <row r="331" spans="1:9" ht="15.5">
      <c r="A331" s="1319" t="s">
        <v>1704</v>
      </c>
      <c r="B331" s="1319"/>
      <c r="I331" s="1302"/>
    </row>
    <row r="332" spans="1:9" ht="15.5">
      <c r="A332" s="1319" t="s">
        <v>1705</v>
      </c>
      <c r="B332" s="1319"/>
      <c r="I332" s="1302"/>
    </row>
    <row r="333" spans="1:9" ht="15.5">
      <c r="A333" s="1319" t="s">
        <v>1706</v>
      </c>
      <c r="B333" s="1319"/>
      <c r="I333" s="1302"/>
    </row>
    <row r="334" spans="1:9" ht="15.5">
      <c r="A334" s="1319" t="s">
        <v>1707</v>
      </c>
      <c r="B334" s="1319"/>
      <c r="I334" s="1302"/>
    </row>
    <row r="335" spans="1:9" ht="15.5">
      <c r="A335" s="1319" t="s">
        <v>1708</v>
      </c>
      <c r="B335" s="1319"/>
      <c r="I335" s="1302"/>
    </row>
    <row r="336" spans="1:9" ht="15.5">
      <c r="A336" s="1319" t="s">
        <v>1709</v>
      </c>
      <c r="B336" s="1319"/>
      <c r="I336" s="1302"/>
    </row>
    <row r="337" spans="1:9" ht="15.5">
      <c r="A337" s="1319" t="s">
        <v>1710</v>
      </c>
      <c r="B337" s="1319"/>
      <c r="I337" s="1302"/>
    </row>
    <row r="338" spans="1:9" ht="15.5">
      <c r="A338" s="1319" t="s">
        <v>1711</v>
      </c>
      <c r="B338" s="1319"/>
      <c r="I338" s="1302"/>
    </row>
    <row r="339" spans="1:9" ht="15.5">
      <c r="A339" s="1319" t="s">
        <v>1712</v>
      </c>
      <c r="B339" s="1319"/>
      <c r="I339" s="1302"/>
    </row>
    <row r="340" spans="1:9" ht="15.5">
      <c r="A340" s="1319" t="s">
        <v>1713</v>
      </c>
      <c r="B340" s="1319"/>
      <c r="I340" s="1302"/>
    </row>
    <row r="341" spans="1:9" ht="15.5">
      <c r="A341" s="1319" t="s">
        <v>1714</v>
      </c>
      <c r="B341" s="1319"/>
      <c r="I341" s="1302"/>
    </row>
    <row r="342" spans="1:9" ht="15.5">
      <c r="A342" s="1319" t="s">
        <v>1715</v>
      </c>
      <c r="B342" s="1319"/>
      <c r="I342" s="1302"/>
    </row>
    <row r="343" spans="1:9" ht="15.5">
      <c r="A343" s="1319" t="s">
        <v>1716</v>
      </c>
      <c r="B343" s="1319"/>
      <c r="I343" s="1302"/>
    </row>
    <row r="344" spans="1:9" ht="15.5">
      <c r="A344" s="1319" t="s">
        <v>1717</v>
      </c>
      <c r="B344" s="1319"/>
      <c r="I344" s="1302"/>
    </row>
    <row r="345" spans="1:9" ht="15.5">
      <c r="A345" s="1319" t="s">
        <v>1718</v>
      </c>
      <c r="B345" s="1319"/>
      <c r="I345" s="1302"/>
    </row>
    <row r="346" spans="1:9" ht="15.5">
      <c r="A346" s="1319" t="s">
        <v>1719</v>
      </c>
      <c r="B346" s="1319"/>
      <c r="I346" s="1302"/>
    </row>
    <row r="347" spans="1:9" ht="15.5">
      <c r="A347" s="1320"/>
      <c r="B347" s="1321"/>
      <c r="I347" s="1302"/>
    </row>
    <row r="348" spans="1:9" ht="15.5">
      <c r="A348" s="1322"/>
      <c r="B348" s="1321"/>
    </row>
    <row r="349" spans="1:9" ht="15.5">
      <c r="A349" s="1322" t="s">
        <v>1720</v>
      </c>
      <c r="B349" s="1321"/>
    </row>
    <row r="350" spans="1:9" ht="15.5">
      <c r="A350" s="1322"/>
      <c r="B350" s="1321"/>
    </row>
    <row r="351" spans="1:9" ht="15.5">
      <c r="A351" s="1314" t="s">
        <v>1701</v>
      </c>
      <c r="B351" s="1314"/>
      <c r="E351" s="1309"/>
    </row>
    <row r="352" spans="1:9" ht="15.5">
      <c r="A352" s="1315" t="s">
        <v>1702</v>
      </c>
      <c r="B352" s="1315"/>
      <c r="F352" s="1309"/>
    </row>
    <row r="353" spans="1:9" ht="15.5">
      <c r="A353" s="1319" t="s">
        <v>1721</v>
      </c>
      <c r="B353" s="1319"/>
    </row>
    <row r="354" spans="1:9" ht="15.5">
      <c r="A354" s="1319" t="s">
        <v>1722</v>
      </c>
      <c r="B354" s="1319"/>
      <c r="I354" s="1302"/>
    </row>
    <row r="355" spans="1:9" ht="15.5">
      <c r="A355" s="1319" t="s">
        <v>1723</v>
      </c>
      <c r="B355" s="1319"/>
      <c r="I355" s="1302"/>
    </row>
    <row r="356" spans="1:9" ht="15.5">
      <c r="A356" s="1319" t="s">
        <v>1724</v>
      </c>
      <c r="B356" s="1319"/>
      <c r="I356" s="1302"/>
    </row>
    <row r="357" spans="1:9" ht="15.5">
      <c r="A357" s="1319" t="s">
        <v>1725</v>
      </c>
      <c r="B357" s="1319"/>
      <c r="I357" s="1302"/>
    </row>
    <row r="358" spans="1:9" ht="15.5">
      <c r="A358" s="1319" t="s">
        <v>1726</v>
      </c>
      <c r="B358" s="1319"/>
      <c r="I358" s="1302"/>
    </row>
    <row r="359" spans="1:9" ht="15.5">
      <c r="A359" s="1319" t="s">
        <v>1727</v>
      </c>
      <c r="B359" s="1319"/>
      <c r="I359" s="1302"/>
    </row>
    <row r="360" spans="1:9" ht="15.5">
      <c r="A360" s="1319" t="s">
        <v>1728</v>
      </c>
      <c r="B360" s="1319"/>
      <c r="I360" s="1302"/>
    </row>
    <row r="361" spans="1:9" ht="15.5">
      <c r="A361" s="1319" t="s">
        <v>1729</v>
      </c>
      <c r="B361" s="1319"/>
      <c r="I361" s="1302"/>
    </row>
    <row r="362" spans="1:9" ht="15.5">
      <c r="A362" s="1319" t="s">
        <v>1730</v>
      </c>
      <c r="B362" s="1319"/>
      <c r="I362" s="1302"/>
    </row>
    <row r="363" spans="1:9" ht="15.5">
      <c r="A363" s="1319" t="s">
        <v>1731</v>
      </c>
      <c r="B363" s="1319"/>
      <c r="I363" s="1302"/>
    </row>
    <row r="364" spans="1:9" ht="15.5">
      <c r="A364" s="1319" t="s">
        <v>1732</v>
      </c>
      <c r="B364" s="1319"/>
      <c r="I364" s="1302"/>
    </row>
    <row r="365" spans="1:9" ht="15.5">
      <c r="A365" s="1319" t="s">
        <v>1733</v>
      </c>
      <c r="B365" s="1319"/>
      <c r="I365" s="1302"/>
    </row>
    <row r="366" spans="1:9" ht="15.5">
      <c r="A366" s="1319" t="s">
        <v>1734</v>
      </c>
      <c r="B366" s="1319"/>
      <c r="I366" s="1302"/>
    </row>
    <row r="367" spans="1:9" ht="15.5">
      <c r="A367" s="1310"/>
      <c r="B367" s="1317"/>
      <c r="I367" s="1302"/>
    </row>
    <row r="368" spans="1:9" ht="15.5">
      <c r="A368" s="1301"/>
    </row>
    <row r="369" spans="1:1" ht="15.5">
      <c r="A369" s="1308" t="s">
        <v>1735</v>
      </c>
    </row>
    <row r="370" spans="1:1" ht="15.5">
      <c r="A370" s="1301"/>
    </row>
    <row r="371" spans="1:1" ht="77.5">
      <c r="A371" s="1301" t="s">
        <v>1736</v>
      </c>
    </row>
    <row r="372" spans="1:1" ht="15.5">
      <c r="A372" s="1301"/>
    </row>
    <row r="373" spans="1:1" ht="15.5">
      <c r="A373" s="1308" t="s">
        <v>1737</v>
      </c>
    </row>
    <row r="374" spans="1:1" ht="15.5">
      <c r="A374" s="1301"/>
    </row>
    <row r="375" spans="1:1" ht="62">
      <c r="A375" s="1301" t="s">
        <v>1738</v>
      </c>
    </row>
    <row r="376" spans="1:1" ht="15.5">
      <c r="A376" s="1301"/>
    </row>
    <row r="377" spans="1:1" ht="46.5">
      <c r="A377" s="1301" t="s">
        <v>1739</v>
      </c>
    </row>
    <row r="378" spans="1:1" ht="15.5">
      <c r="A378" s="1301"/>
    </row>
    <row r="379" spans="1:1" ht="31">
      <c r="A379" s="1301" t="s">
        <v>1740</v>
      </c>
    </row>
    <row r="380" spans="1:1" ht="15.5">
      <c r="A380" s="1301"/>
    </row>
    <row r="381" spans="1:1" ht="31">
      <c r="A381" s="1301" t="s">
        <v>1741</v>
      </c>
    </row>
    <row r="382" spans="1:1" ht="15.5">
      <c r="A382" s="1301"/>
    </row>
    <row r="383" spans="1:1" ht="15.5">
      <c r="A383" s="1301" t="s">
        <v>1742</v>
      </c>
    </row>
    <row r="384" spans="1:1" ht="15.5">
      <c r="A384" s="1301"/>
    </row>
    <row r="385" spans="1:2" ht="15.5">
      <c r="A385" s="1301"/>
    </row>
    <row r="386" spans="1:2" ht="62">
      <c r="A386" s="1305" t="s">
        <v>1743</v>
      </c>
      <c r="B386" s="1302"/>
    </row>
    <row r="387" spans="1:2" ht="15.5">
      <c r="A387" s="1301"/>
    </row>
    <row r="388" spans="1:2" ht="77.5">
      <c r="A388" s="1305" t="s">
        <v>1744</v>
      </c>
      <c r="B388" s="1302"/>
    </row>
    <row r="389" spans="1:2" ht="15.5">
      <c r="A389" s="1301"/>
    </row>
    <row r="390" spans="1:2" ht="31">
      <c r="A390" s="1305" t="s">
        <v>1745</v>
      </c>
      <c r="B390" s="1302"/>
    </row>
    <row r="391" spans="1:2" ht="15.5">
      <c r="A391" s="1301"/>
    </row>
    <row r="392" spans="1:2" ht="62">
      <c r="A392" s="1305" t="s">
        <v>1746</v>
      </c>
      <c r="B392" s="1302"/>
    </row>
    <row r="393" spans="1:2" ht="15.5">
      <c r="A393" s="1301"/>
    </row>
    <row r="394" spans="1:2" ht="62">
      <c r="A394" s="1301" t="s">
        <v>1747</v>
      </c>
    </row>
    <row r="395" spans="1:2" ht="46.5">
      <c r="A395" s="1301" t="s">
        <v>1748</v>
      </c>
    </row>
    <row r="396" spans="1:2">
      <c r="A396" s="1323"/>
    </row>
  </sheetData>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8"/>
  <sheetViews>
    <sheetView view="pageBreakPreview" zoomScaleNormal="115" zoomScaleSheetLayoutView="100" workbookViewId="0">
      <selection activeCell="D12" sqref="D12"/>
    </sheetView>
  </sheetViews>
  <sheetFormatPr defaultRowHeight="12.5"/>
  <cols>
    <col min="1" max="1" width="13" customWidth="1"/>
    <col min="2" max="2" width="44.453125" customWidth="1"/>
    <col min="3" max="3" width="19.6328125" customWidth="1"/>
    <col min="4" max="4" width="21.453125" customWidth="1"/>
    <col min="5" max="7" width="26.08984375" customWidth="1"/>
    <col min="8" max="8" width="15" bestFit="1" customWidth="1"/>
    <col min="9" max="9" width="25.453125" customWidth="1"/>
    <col min="12" max="12" width="10" bestFit="1" customWidth="1"/>
  </cols>
  <sheetData>
    <row r="1" spans="1:9" ht="13" thickTop="1">
      <c r="A1" s="550"/>
      <c r="B1" s="551"/>
      <c r="C1" s="551"/>
      <c r="D1" s="552"/>
    </row>
    <row r="2" spans="1:9">
      <c r="A2" s="1507" t="s">
        <v>1299</v>
      </c>
      <c r="B2" s="1508"/>
      <c r="C2" s="1508"/>
      <c r="D2" s="1509"/>
    </row>
    <row r="3" spans="1:9">
      <c r="A3" s="1507"/>
      <c r="B3" s="1508"/>
      <c r="C3" s="1508"/>
      <c r="D3" s="1509"/>
    </row>
    <row r="4" spans="1:9">
      <c r="A4" s="1507"/>
      <c r="B4" s="1508"/>
      <c r="C4" s="1508"/>
      <c r="D4" s="1509"/>
    </row>
    <row r="5" spans="1:9" ht="13" thickBot="1">
      <c r="A5" s="553"/>
      <c r="B5" s="554"/>
      <c r="C5" s="554"/>
      <c r="D5" s="555"/>
    </row>
    <row r="6" spans="1:9" ht="24.75" customHeight="1" thickTop="1">
      <c r="A6" s="528"/>
      <c r="B6" s="529"/>
      <c r="C6" s="530"/>
      <c r="D6" s="531"/>
      <c r="E6" s="134"/>
      <c r="F6" s="134"/>
      <c r="G6" s="134"/>
      <c r="I6" s="554"/>
    </row>
    <row r="7" spans="1:9" ht="18.5">
      <c r="A7" s="532"/>
      <c r="B7" s="1520" t="s">
        <v>933</v>
      </c>
      <c r="C7" s="1520"/>
      <c r="D7" s="1521"/>
      <c r="E7" s="134"/>
      <c r="F7" s="134"/>
      <c r="G7" s="134"/>
      <c r="I7" s="1297"/>
    </row>
    <row r="8" spans="1:9" ht="24.75" customHeight="1" thickBot="1">
      <c r="A8" s="533"/>
      <c r="B8" s="566"/>
      <c r="C8" s="567"/>
      <c r="D8" s="568"/>
      <c r="E8" s="428"/>
      <c r="F8" s="428"/>
      <c r="G8" s="428"/>
      <c r="I8" s="243"/>
    </row>
    <row r="9" spans="1:9" s="526" customFormat="1" ht="34.5" customHeight="1" thickTop="1" thickBot="1">
      <c r="A9" s="534" t="s">
        <v>1300</v>
      </c>
      <c r="B9" s="1522" t="s">
        <v>5</v>
      </c>
      <c r="C9" s="1523"/>
      <c r="D9" s="569" t="s">
        <v>8</v>
      </c>
      <c r="E9" s="525"/>
      <c r="F9" s="525"/>
      <c r="G9" s="525"/>
      <c r="I9" s="1298"/>
    </row>
    <row r="10" spans="1:9" ht="16" thickTop="1">
      <c r="A10" s="535"/>
      <c r="B10" s="1524"/>
      <c r="C10" s="1525"/>
      <c r="D10" s="1325"/>
      <c r="E10" s="429"/>
      <c r="F10" s="429"/>
      <c r="G10" s="429"/>
      <c r="I10" s="459"/>
    </row>
    <row r="11" spans="1:9" ht="18.75" customHeight="1">
      <c r="A11" s="536">
        <v>1</v>
      </c>
      <c r="B11" s="1526" t="s">
        <v>931</v>
      </c>
      <c r="C11" s="1526"/>
      <c r="D11" s="1326">
        <f>'Bill No. 1 - P &amp; G'!G207</f>
        <v>0</v>
      </c>
      <c r="E11" s="431"/>
      <c r="F11" s="431"/>
      <c r="G11" s="431"/>
      <c r="H11" s="397"/>
      <c r="I11" s="459"/>
    </row>
    <row r="12" spans="1:9" ht="13.5" customHeight="1">
      <c r="A12" s="536"/>
      <c r="B12" s="1526"/>
      <c r="C12" s="1526"/>
      <c r="D12" s="1327"/>
      <c r="E12" s="430"/>
      <c r="F12" s="430"/>
      <c r="G12" s="430"/>
      <c r="I12" s="459"/>
    </row>
    <row r="13" spans="1:9" ht="18.75" customHeight="1">
      <c r="A13" s="536">
        <v>2</v>
      </c>
      <c r="B13" s="1526" t="s">
        <v>932</v>
      </c>
      <c r="C13" s="1526"/>
      <c r="D13" s="1328">
        <f>'Bill No. 2 - Rising Main'!F363</f>
        <v>0</v>
      </c>
      <c r="E13" s="430"/>
      <c r="F13" s="430"/>
      <c r="G13" s="430"/>
      <c r="I13" s="459"/>
    </row>
    <row r="14" spans="1:9" ht="18.75" customHeight="1">
      <c r="A14" s="536"/>
      <c r="B14" s="1527"/>
      <c r="C14" s="1528"/>
      <c r="D14" s="1328"/>
      <c r="E14" s="430"/>
      <c r="F14" s="430"/>
      <c r="G14" s="430"/>
      <c r="I14" s="459"/>
    </row>
    <row r="15" spans="1:9" ht="18.75" customHeight="1">
      <c r="A15" s="536">
        <v>3</v>
      </c>
      <c r="B15" s="1526" t="s">
        <v>1763</v>
      </c>
      <c r="C15" s="1526"/>
      <c r="D15" s="1328">
        <f>'Bill No. 3 - Reservoir'!F732</f>
        <v>0</v>
      </c>
      <c r="E15" s="430"/>
      <c r="F15" s="430"/>
      <c r="G15" s="430"/>
      <c r="I15" s="459"/>
    </row>
    <row r="16" spans="1:9" ht="12.75" customHeight="1">
      <c r="A16" s="536"/>
      <c r="B16" s="1526"/>
      <c r="C16" s="1526"/>
      <c r="D16" s="1328"/>
      <c r="E16" s="432"/>
      <c r="F16" s="432"/>
      <c r="G16" s="432"/>
      <c r="I16" s="459"/>
    </row>
    <row r="17" spans="1:9" ht="18.75" customHeight="1">
      <c r="A17" s="536">
        <v>4</v>
      </c>
      <c r="B17" s="1526" t="s">
        <v>1202</v>
      </c>
      <c r="C17" s="1526"/>
      <c r="D17" s="1328">
        <f>'Bill No. 4 - Pump Station'!F147</f>
        <v>0</v>
      </c>
      <c r="E17" s="432"/>
      <c r="F17" s="432"/>
      <c r="G17" s="432"/>
      <c r="I17" s="459"/>
    </row>
    <row r="18" spans="1:9" ht="18.75" customHeight="1">
      <c r="A18" s="536"/>
      <c r="B18" s="1526"/>
      <c r="C18" s="1526"/>
      <c r="D18" s="1328"/>
      <c r="E18" s="432"/>
      <c r="F18" s="432"/>
      <c r="G18" s="432"/>
      <c r="I18" s="459"/>
    </row>
    <row r="19" spans="1:9" ht="18.75" customHeight="1">
      <c r="A19" s="536">
        <v>5</v>
      </c>
      <c r="B19" s="1526" t="s">
        <v>1316</v>
      </c>
      <c r="C19" s="1526"/>
      <c r="D19" s="1327">
        <f>'Bill No. 5 - Dayworks'!F212</f>
        <v>0</v>
      </c>
      <c r="E19" s="433"/>
      <c r="F19" s="433"/>
      <c r="G19" s="433"/>
      <c r="I19" s="459"/>
    </row>
    <row r="20" spans="1:9" ht="18.75" customHeight="1">
      <c r="A20" s="536"/>
      <c r="B20" s="1530"/>
      <c r="C20" s="1531"/>
      <c r="D20" s="1327"/>
      <c r="E20" s="134"/>
      <c r="F20" s="134"/>
      <c r="G20" s="134"/>
      <c r="I20" s="459"/>
    </row>
    <row r="21" spans="1:9" ht="18.75" customHeight="1">
      <c r="A21" s="536"/>
      <c r="B21" s="1526"/>
      <c r="C21" s="1526"/>
      <c r="D21" s="1327"/>
      <c r="E21" s="396"/>
      <c r="F21" s="396"/>
      <c r="G21" s="396"/>
      <c r="I21" s="459"/>
    </row>
    <row r="22" spans="1:9" ht="18.75" customHeight="1">
      <c r="A22" s="536"/>
      <c r="B22" s="1329"/>
      <c r="C22" s="1329"/>
      <c r="D22" s="1327"/>
      <c r="E22" s="396"/>
      <c r="F22" s="396"/>
      <c r="G22" s="396"/>
      <c r="I22" s="459"/>
    </row>
    <row r="23" spans="1:9" ht="18.75" customHeight="1">
      <c r="A23" s="536"/>
      <c r="B23" s="570"/>
      <c r="C23" s="570"/>
      <c r="D23" s="1328"/>
      <c r="E23" s="398"/>
      <c r="F23" s="398"/>
      <c r="G23" s="398"/>
      <c r="I23" s="459"/>
    </row>
    <row r="24" spans="1:9" ht="15.5">
      <c r="A24" s="538"/>
      <c r="B24" s="1529"/>
      <c r="C24" s="1529"/>
      <c r="D24" s="1330"/>
      <c r="I24" s="243"/>
    </row>
    <row r="25" spans="1:9" s="559" customFormat="1" ht="15.5">
      <c r="A25" s="539"/>
      <c r="B25" s="1516"/>
      <c r="C25" s="1517"/>
      <c r="D25" s="1330"/>
      <c r="E25" s="558"/>
    </row>
    <row r="26" spans="1:9" s="559" customFormat="1" ht="15.5">
      <c r="A26" s="539"/>
      <c r="B26" s="1516"/>
      <c r="C26" s="1517"/>
      <c r="D26" s="1330"/>
    </row>
    <row r="27" spans="1:9" s="559" customFormat="1" ht="15.5">
      <c r="A27" s="539"/>
      <c r="B27" s="1331" t="s">
        <v>1312</v>
      </c>
      <c r="C27" s="1332"/>
      <c r="D27" s="1330">
        <f>10%*D25</f>
        <v>0</v>
      </c>
    </row>
    <row r="28" spans="1:9" s="559" customFormat="1" ht="15.5">
      <c r="A28" s="539"/>
      <c r="B28" s="1331"/>
      <c r="C28" s="1332"/>
      <c r="D28" s="1330"/>
    </row>
    <row r="29" spans="1:9" s="559" customFormat="1" ht="15.5">
      <c r="A29" s="539"/>
      <c r="B29" s="1331" t="s">
        <v>1376</v>
      </c>
      <c r="C29" s="1332"/>
      <c r="D29" s="1330">
        <f>D25+D27</f>
        <v>0</v>
      </c>
    </row>
    <row r="30" spans="1:9" s="559" customFormat="1" ht="15.5">
      <c r="A30" s="539"/>
      <c r="B30" s="1331" t="s">
        <v>934</v>
      </c>
      <c r="C30" s="1332"/>
      <c r="D30" s="1330">
        <f>16%*D29</f>
        <v>0</v>
      </c>
    </row>
    <row r="31" spans="1:9" s="559" customFormat="1" ht="15.5">
      <c r="A31" s="539"/>
      <c r="B31" s="1331"/>
      <c r="C31" s="1332"/>
      <c r="D31" s="1330"/>
    </row>
    <row r="32" spans="1:9" s="559" customFormat="1" ht="15.5">
      <c r="A32" s="539"/>
      <c r="B32" s="1331"/>
      <c r="C32" s="1332"/>
      <c r="D32" s="1333"/>
    </row>
    <row r="33" spans="1:4" s="559" customFormat="1" ht="15.5">
      <c r="A33" s="539"/>
      <c r="B33" s="1516" t="s">
        <v>1344</v>
      </c>
      <c r="C33" s="1517"/>
      <c r="D33" s="1330">
        <f>D29+D30</f>
        <v>0</v>
      </c>
    </row>
    <row r="34" spans="1:4" ht="15.5">
      <c r="A34" s="539"/>
      <c r="B34" s="1518"/>
      <c r="C34" s="1519"/>
      <c r="D34" s="1330"/>
    </row>
    <row r="35" spans="1:4" ht="15.5">
      <c r="A35" s="556"/>
      <c r="B35" s="1510"/>
      <c r="C35" s="1511"/>
      <c r="D35" s="540"/>
    </row>
    <row r="36" spans="1:4" ht="15.5">
      <c r="A36" s="557"/>
      <c r="B36" s="1514"/>
      <c r="C36" s="1515"/>
      <c r="D36" s="541"/>
    </row>
    <row r="37" spans="1:4" ht="15.5">
      <c r="A37" s="557"/>
      <c r="B37" s="1514"/>
      <c r="C37" s="1515"/>
      <c r="D37" s="541"/>
    </row>
    <row r="38" spans="1:4" ht="15.5">
      <c r="A38" s="557"/>
      <c r="B38" s="1514"/>
      <c r="C38" s="1515"/>
      <c r="D38" s="541"/>
    </row>
    <row r="39" spans="1:4" ht="15.5">
      <c r="A39" s="557"/>
      <c r="B39" s="1514"/>
      <c r="C39" s="1515"/>
      <c r="D39" s="541"/>
    </row>
    <row r="40" spans="1:4" ht="15.5">
      <c r="A40" s="557"/>
      <c r="B40" s="1514"/>
      <c r="C40" s="1515"/>
      <c r="D40" s="541"/>
    </row>
    <row r="41" spans="1:4" ht="16" thickBot="1">
      <c r="A41" s="542"/>
      <c r="B41" s="1512"/>
      <c r="C41" s="1513"/>
      <c r="D41" s="543"/>
    </row>
    <row r="42" spans="1:4" ht="16" thickTop="1">
      <c r="A42" s="544"/>
      <c r="B42" s="545"/>
      <c r="C42" s="545"/>
      <c r="D42" s="544"/>
    </row>
    <row r="43" spans="1:4" ht="15.5">
      <c r="A43" s="544"/>
      <c r="B43" s="544"/>
      <c r="C43" s="544"/>
      <c r="D43" s="544"/>
    </row>
    <row r="44" spans="1:4" ht="15.5">
      <c r="A44" s="544"/>
      <c r="B44" s="544"/>
      <c r="C44" s="544"/>
      <c r="D44" s="544"/>
    </row>
    <row r="45" spans="1:4" ht="15.5">
      <c r="A45" s="544"/>
      <c r="B45" s="544"/>
      <c r="C45" s="544"/>
      <c r="D45" s="544"/>
    </row>
    <row r="46" spans="1:4" ht="15.5">
      <c r="A46" s="544"/>
      <c r="B46" s="544"/>
      <c r="C46" s="544"/>
      <c r="D46" s="544"/>
    </row>
    <row r="47" spans="1:4" ht="15.5">
      <c r="A47" s="544"/>
      <c r="B47" s="544"/>
      <c r="C47" s="544"/>
      <c r="D47" s="544"/>
    </row>
    <row r="48" spans="1:4" ht="15.5">
      <c r="A48" s="537"/>
      <c r="B48" s="537"/>
      <c r="C48" s="537"/>
      <c r="D48" s="537"/>
    </row>
    <row r="49" spans="1:4" ht="15.5">
      <c r="A49" s="537"/>
      <c r="B49" s="537"/>
      <c r="C49" s="537"/>
      <c r="D49" s="537"/>
    </row>
    <row r="50" spans="1:4" ht="15.5">
      <c r="A50" s="537"/>
      <c r="B50" s="537"/>
      <c r="C50" s="537"/>
      <c r="D50" s="537"/>
    </row>
    <row r="51" spans="1:4" ht="15.5">
      <c r="A51" s="537"/>
      <c r="B51" s="537"/>
      <c r="C51" s="537"/>
      <c r="D51" s="537"/>
    </row>
    <row r="52" spans="1:4" ht="15.5">
      <c r="A52" s="537"/>
      <c r="B52" s="537"/>
      <c r="C52" s="537"/>
      <c r="D52" s="537"/>
    </row>
    <row r="53" spans="1:4" ht="15.5">
      <c r="A53" s="537"/>
      <c r="B53" s="537"/>
      <c r="C53" s="537"/>
      <c r="D53" s="537"/>
    </row>
    <row r="54" spans="1:4" ht="15.5">
      <c r="A54" s="537"/>
      <c r="B54" s="537"/>
      <c r="C54" s="537"/>
      <c r="D54" s="537"/>
    </row>
    <row r="55" spans="1:4" ht="15.5">
      <c r="A55" s="537"/>
      <c r="B55" s="537"/>
      <c r="C55" s="537"/>
      <c r="D55" s="537"/>
    </row>
    <row r="56" spans="1:4" ht="15.5">
      <c r="A56" s="537"/>
      <c r="B56" s="537"/>
      <c r="C56" s="537"/>
      <c r="D56" s="537"/>
    </row>
    <row r="57" spans="1:4" ht="15.5">
      <c r="A57" s="537"/>
      <c r="B57" s="537"/>
      <c r="C57" s="537"/>
      <c r="D57" s="537"/>
    </row>
    <row r="58" spans="1:4" ht="15.5">
      <c r="A58" s="537"/>
      <c r="B58" s="537"/>
      <c r="C58" s="537"/>
      <c r="D58" s="537"/>
    </row>
  </sheetData>
  <mergeCells count="27">
    <mergeCell ref="B24:C24"/>
    <mergeCell ref="B18:C18"/>
    <mergeCell ref="B20:C20"/>
    <mergeCell ref="B19:C19"/>
    <mergeCell ref="B21:C21"/>
    <mergeCell ref="B11:C11"/>
    <mergeCell ref="B12:C12"/>
    <mergeCell ref="B13:C13"/>
    <mergeCell ref="B15:C15"/>
    <mergeCell ref="B16:C16"/>
    <mergeCell ref="B14:C14"/>
    <mergeCell ref="A2:D4"/>
    <mergeCell ref="B35:C35"/>
    <mergeCell ref="B41:C41"/>
    <mergeCell ref="B36:C36"/>
    <mergeCell ref="B37:C37"/>
    <mergeCell ref="B38:C38"/>
    <mergeCell ref="B39:C39"/>
    <mergeCell ref="B40:C40"/>
    <mergeCell ref="B25:C25"/>
    <mergeCell ref="B26:C26"/>
    <mergeCell ref="B33:C33"/>
    <mergeCell ref="B34:C34"/>
    <mergeCell ref="B7:D7"/>
    <mergeCell ref="B9:C9"/>
    <mergeCell ref="B10:C10"/>
    <mergeCell ref="B17:C17"/>
  </mergeCells>
  <printOptions horizontalCentered="1"/>
  <pageMargins left="0.75" right="0.5" top="0.8" bottom="0.75" header="0.5" footer="0.5"/>
  <pageSetup paperSize="9" scale="85" orientation="portrait" r:id="rId1"/>
  <headerFooter>
    <oddHeader>&amp;LWater and Sanitation Development Project (WSDP)&amp;RSecond Baricho - Kakuyuni Water Supply Project</oddHeader>
    <oddFooter>&amp;C&amp;A&amp;R&amp;P</oddFooter>
  </headerFooter>
  <rowBreaks count="1" manualBreakCount="1">
    <brk id="4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09"/>
  <sheetViews>
    <sheetView view="pageBreakPreview" topLeftCell="B30" zoomScaleNormal="100" zoomScaleSheetLayoutView="100" workbookViewId="0">
      <selection activeCell="H41" sqref="H41"/>
    </sheetView>
  </sheetViews>
  <sheetFormatPr defaultColWidth="9.08984375" defaultRowHeight="15.5"/>
  <cols>
    <col min="1" max="1" width="5.54296875" style="575" hidden="1" customWidth="1"/>
    <col min="2" max="2" width="9.54296875" style="694" customWidth="1"/>
    <col min="3" max="3" width="48.54296875" style="695" customWidth="1"/>
    <col min="4" max="4" width="7.453125" style="694" customWidth="1"/>
    <col min="5" max="5" width="13.08984375" style="696" customWidth="1"/>
    <col min="6" max="6" width="14.6328125" style="697" customWidth="1"/>
    <col min="7" max="7" width="13.08984375" style="697" customWidth="1"/>
    <col min="8" max="8" width="18.36328125" style="575" customWidth="1"/>
    <col min="9" max="9" width="15.453125" style="575" bestFit="1" customWidth="1"/>
    <col min="10" max="16384" width="9.08984375" style="575"/>
  </cols>
  <sheetData>
    <row r="1" spans="2:8" ht="6.75" customHeight="1" thickTop="1">
      <c r="B1" s="560"/>
      <c r="C1" s="561"/>
      <c r="D1" s="573"/>
      <c r="E1" s="574"/>
      <c r="F1" s="562"/>
      <c r="G1" s="563"/>
    </row>
    <row r="2" spans="2:8" ht="20.399999999999999" customHeight="1">
      <c r="B2" s="1532" t="s">
        <v>1513</v>
      </c>
      <c r="C2" s="1520"/>
      <c r="D2" s="1520"/>
      <c r="E2" s="1520"/>
      <c r="F2" s="1520"/>
      <c r="G2" s="1521"/>
    </row>
    <row r="3" spans="2:8" ht="7.5" customHeight="1" thickBot="1">
      <c r="B3" s="565"/>
      <c r="C3" s="566"/>
      <c r="D3" s="576"/>
      <c r="E3" s="577"/>
      <c r="F3" s="567"/>
      <c r="G3" s="568"/>
    </row>
    <row r="4" spans="2:8" ht="32" thickTop="1" thickBot="1">
      <c r="B4" s="578" t="s">
        <v>4</v>
      </c>
      <c r="C4" s="579" t="s">
        <v>5</v>
      </c>
      <c r="D4" s="580" t="s">
        <v>6</v>
      </c>
      <c r="E4" s="581" t="s">
        <v>1</v>
      </c>
      <c r="F4" s="582" t="s">
        <v>7</v>
      </c>
      <c r="G4" s="569" t="s">
        <v>8</v>
      </c>
    </row>
    <row r="5" spans="2:8" ht="8.25" customHeight="1" thickTop="1">
      <c r="B5" s="583"/>
      <c r="C5" s="584"/>
      <c r="D5" s="585"/>
      <c r="E5" s="586"/>
      <c r="F5" s="587"/>
      <c r="G5" s="588"/>
      <c r="H5" s="589"/>
    </row>
    <row r="6" spans="2:8" s="593" customFormat="1">
      <c r="B6" s="583"/>
      <c r="C6" s="590" t="s">
        <v>248</v>
      </c>
      <c r="D6" s="585"/>
      <c r="E6" s="586"/>
      <c r="F6" s="591"/>
      <c r="G6" s="592"/>
    </row>
    <row r="7" spans="2:8" s="593" customFormat="1" ht="9.75" customHeight="1">
      <c r="B7" s="583"/>
      <c r="C7" s="590"/>
      <c r="D7" s="585"/>
      <c r="E7" s="586"/>
      <c r="F7" s="591"/>
      <c r="G7" s="592"/>
    </row>
    <row r="8" spans="2:8" s="593" customFormat="1">
      <c r="B8" s="583" t="s">
        <v>935</v>
      </c>
      <c r="C8" s="590" t="s">
        <v>936</v>
      </c>
      <c r="D8" s="585"/>
      <c r="E8" s="586"/>
      <c r="F8" s="591"/>
      <c r="G8" s="592"/>
    </row>
    <row r="9" spans="2:8" s="593" customFormat="1" ht="9.75" customHeight="1">
      <c r="B9" s="583"/>
      <c r="C9" s="590"/>
      <c r="D9" s="585"/>
      <c r="E9" s="586"/>
      <c r="F9" s="591"/>
      <c r="G9" s="592"/>
    </row>
    <row r="10" spans="2:8" s="593" customFormat="1">
      <c r="B10" s="583"/>
      <c r="C10" s="594" t="s">
        <v>72</v>
      </c>
      <c r="D10" s="585"/>
      <c r="E10" s="586"/>
      <c r="F10" s="591"/>
      <c r="G10" s="592"/>
    </row>
    <row r="11" spans="2:8" s="593" customFormat="1" ht="10.5" customHeight="1">
      <c r="B11" s="583"/>
      <c r="C11" s="590"/>
      <c r="D11" s="585"/>
      <c r="E11" s="586"/>
      <c r="F11" s="591"/>
      <c r="G11" s="592"/>
    </row>
    <row r="12" spans="2:8" s="593" customFormat="1">
      <c r="B12" s="595" t="s">
        <v>1405</v>
      </c>
      <c r="C12" s="596" t="s">
        <v>937</v>
      </c>
      <c r="D12" s="585" t="s">
        <v>0</v>
      </c>
      <c r="E12" s="586" t="s">
        <v>12</v>
      </c>
      <c r="F12" s="591" t="s">
        <v>1401</v>
      </c>
      <c r="G12" s="592" t="str">
        <f>F12</f>
        <v>-</v>
      </c>
      <c r="H12" s="597"/>
    </row>
    <row r="13" spans="2:8" s="593" customFormat="1" ht="11.25" customHeight="1">
      <c r="B13" s="583"/>
      <c r="C13" s="590"/>
      <c r="D13" s="585"/>
      <c r="E13" s="586"/>
      <c r="F13" s="591"/>
      <c r="G13" s="592"/>
    </row>
    <row r="14" spans="2:8" s="593" customFormat="1" ht="31">
      <c r="B14" s="595" t="s">
        <v>1406</v>
      </c>
      <c r="C14" s="596" t="s">
        <v>938</v>
      </c>
      <c r="D14" s="585" t="s">
        <v>0</v>
      </c>
      <c r="E14" s="586" t="s">
        <v>12</v>
      </c>
      <c r="F14" s="591"/>
      <c r="G14" s="592">
        <f>F14</f>
        <v>0</v>
      </c>
      <c r="H14" s="597"/>
    </row>
    <row r="15" spans="2:8" s="593" customFormat="1" ht="9" customHeight="1">
      <c r="B15" s="583"/>
      <c r="C15" s="590"/>
      <c r="D15" s="585"/>
      <c r="E15" s="586"/>
      <c r="F15" s="591"/>
      <c r="G15" s="592"/>
    </row>
    <row r="16" spans="2:8" s="593" customFormat="1" ht="46.5">
      <c r="B16" s="595" t="s">
        <v>1407</v>
      </c>
      <c r="C16" s="596" t="s">
        <v>939</v>
      </c>
      <c r="D16" s="585" t="s">
        <v>0</v>
      </c>
      <c r="E16" s="586" t="s">
        <v>12</v>
      </c>
      <c r="F16" s="591"/>
      <c r="G16" s="592">
        <f>F16</f>
        <v>0</v>
      </c>
      <c r="H16" s="597"/>
    </row>
    <row r="17" spans="2:7" s="593" customFormat="1" ht="9.75" customHeight="1">
      <c r="B17" s="583"/>
      <c r="C17" s="590"/>
      <c r="D17" s="585"/>
      <c r="E17" s="586"/>
      <c r="F17" s="591"/>
      <c r="G17" s="592"/>
    </row>
    <row r="18" spans="2:7" s="593" customFormat="1" ht="31">
      <c r="B18" s="595" t="s">
        <v>1408</v>
      </c>
      <c r="C18" s="596" t="s">
        <v>940</v>
      </c>
      <c r="D18" s="585" t="s">
        <v>0</v>
      </c>
      <c r="E18" s="586" t="s">
        <v>12</v>
      </c>
      <c r="F18" s="591"/>
      <c r="G18" s="592">
        <f>(G14+G16)*15%</f>
        <v>0</v>
      </c>
    </row>
    <row r="19" spans="2:7" s="593" customFormat="1" ht="7.5" customHeight="1">
      <c r="B19" s="583"/>
      <c r="C19" s="590"/>
      <c r="D19" s="585"/>
      <c r="E19" s="586"/>
      <c r="F19" s="591"/>
      <c r="G19" s="592"/>
    </row>
    <row r="20" spans="2:7" s="593" customFormat="1">
      <c r="B20" s="583" t="s">
        <v>941</v>
      </c>
      <c r="C20" s="590" t="s">
        <v>249</v>
      </c>
      <c r="D20" s="585"/>
      <c r="E20" s="586"/>
      <c r="F20" s="591"/>
      <c r="G20" s="592"/>
    </row>
    <row r="21" spans="2:7" s="593" customFormat="1" ht="21.65" customHeight="1">
      <c r="B21" s="583" t="s">
        <v>942</v>
      </c>
      <c r="C21" s="594" t="s">
        <v>250</v>
      </c>
      <c r="D21" s="585"/>
      <c r="E21" s="586"/>
      <c r="F21" s="591"/>
      <c r="G21" s="592"/>
    </row>
    <row r="22" spans="2:7" ht="9" customHeight="1">
      <c r="B22" s="564"/>
      <c r="C22" s="584"/>
      <c r="D22" s="585"/>
      <c r="E22" s="586"/>
      <c r="F22" s="591"/>
      <c r="G22" s="592"/>
    </row>
    <row r="23" spans="2:7" ht="95">
      <c r="B23" s="595" t="s">
        <v>943</v>
      </c>
      <c r="C23" s="596" t="s">
        <v>1402</v>
      </c>
      <c r="D23" s="598" t="s">
        <v>0</v>
      </c>
      <c r="E23" s="599" t="s">
        <v>12</v>
      </c>
      <c r="F23" s="600"/>
      <c r="G23" s="601"/>
    </row>
    <row r="24" spans="2:7" ht="9.75" customHeight="1">
      <c r="B24" s="595"/>
      <c r="C24" s="596"/>
      <c r="D24" s="602"/>
      <c r="E24" s="603"/>
      <c r="F24" s="604"/>
      <c r="G24" s="605"/>
    </row>
    <row r="25" spans="2:7" ht="62">
      <c r="B25" s="595" t="s">
        <v>944</v>
      </c>
      <c r="C25" s="596" t="s">
        <v>945</v>
      </c>
      <c r="D25" s="598" t="s">
        <v>0</v>
      </c>
      <c r="E25" s="599" t="s">
        <v>253</v>
      </c>
      <c r="F25" s="600">
        <v>2000000</v>
      </c>
      <c r="G25" s="606">
        <v>2000000</v>
      </c>
    </row>
    <row r="26" spans="2:7" ht="9" customHeight="1">
      <c r="B26" s="595"/>
      <c r="C26" s="596"/>
      <c r="D26" s="602"/>
      <c r="E26" s="603"/>
      <c r="F26" s="604"/>
      <c r="G26" s="605"/>
    </row>
    <row r="27" spans="2:7" ht="46.5">
      <c r="B27" s="595" t="s">
        <v>946</v>
      </c>
      <c r="C27" s="596" t="s">
        <v>948</v>
      </c>
      <c r="D27" s="598" t="s">
        <v>73</v>
      </c>
      <c r="E27" s="599">
        <v>12</v>
      </c>
      <c r="F27" s="600">
        <v>350000</v>
      </c>
      <c r="G27" s="606">
        <f>E27*F27</f>
        <v>4200000</v>
      </c>
    </row>
    <row r="28" spans="2:7" ht="8.25" customHeight="1">
      <c r="B28" s="595"/>
      <c r="C28" s="596"/>
      <c r="D28" s="602"/>
      <c r="E28" s="603"/>
      <c r="F28" s="604"/>
      <c r="G28" s="605"/>
    </row>
    <row r="29" spans="2:7" ht="31">
      <c r="B29" s="595" t="s">
        <v>947</v>
      </c>
      <c r="C29" s="596" t="s">
        <v>1382</v>
      </c>
      <c r="D29" s="607" t="s">
        <v>67</v>
      </c>
      <c r="E29" s="608">
        <f>G23+G25+G27</f>
        <v>6200000</v>
      </c>
      <c r="F29" s="609"/>
      <c r="G29" s="606">
        <f>E29*F29</f>
        <v>0</v>
      </c>
    </row>
    <row r="30" spans="2:7" ht="8.25" customHeight="1">
      <c r="B30" s="564"/>
      <c r="C30" s="584"/>
      <c r="D30" s="585"/>
      <c r="E30" s="610"/>
      <c r="F30" s="611"/>
      <c r="G30" s="605"/>
    </row>
    <row r="31" spans="2:7">
      <c r="B31" s="583" t="s">
        <v>949</v>
      </c>
      <c r="C31" s="594" t="s">
        <v>251</v>
      </c>
      <c r="D31" s="585"/>
      <c r="E31" s="586"/>
      <c r="F31" s="591"/>
      <c r="G31" s="592"/>
    </row>
    <row r="32" spans="2:7" ht="9" customHeight="1">
      <c r="B32" s="564"/>
      <c r="C32" s="584"/>
      <c r="D32" s="585"/>
      <c r="E32" s="586"/>
      <c r="F32" s="591"/>
      <c r="G32" s="592"/>
    </row>
    <row r="33" spans="2:7" ht="124">
      <c r="B33" s="704" t="s">
        <v>951</v>
      </c>
      <c r="C33" s="584" t="s">
        <v>950</v>
      </c>
      <c r="D33" s="613" t="s">
        <v>954</v>
      </c>
      <c r="E33" s="614">
        <v>1</v>
      </c>
      <c r="F33" s="615">
        <v>35000000</v>
      </c>
      <c r="G33" s="616">
        <f>E33*F33</f>
        <v>35000000</v>
      </c>
    </row>
    <row r="34" spans="2:7" ht="8.25" customHeight="1">
      <c r="B34" s="704"/>
      <c r="C34" s="584"/>
      <c r="D34" s="613"/>
      <c r="E34" s="614"/>
      <c r="F34" s="615"/>
      <c r="G34" s="616">
        <f>E34*F34</f>
        <v>0</v>
      </c>
    </row>
    <row r="35" spans="2:7" ht="31">
      <c r="B35" s="704" t="s">
        <v>952</v>
      </c>
      <c r="C35" s="584" t="s">
        <v>953</v>
      </c>
      <c r="D35" s="613" t="s">
        <v>67</v>
      </c>
      <c r="E35" s="614">
        <f>F33</f>
        <v>35000000</v>
      </c>
      <c r="F35" s="617"/>
      <c r="G35" s="616">
        <f>E35*F35</f>
        <v>0</v>
      </c>
    </row>
    <row r="36" spans="2:7" ht="5.25" customHeight="1">
      <c r="B36" s="564"/>
      <c r="C36" s="618"/>
      <c r="D36" s="619"/>
      <c r="E36" s="620"/>
      <c r="F36" s="591"/>
      <c r="G36" s="592"/>
    </row>
    <row r="37" spans="2:7" ht="54.65" customHeight="1">
      <c r="B37" s="704" t="s">
        <v>957</v>
      </c>
      <c r="C37" s="584" t="s">
        <v>955</v>
      </c>
      <c r="D37" s="613" t="s">
        <v>956</v>
      </c>
      <c r="E37" s="621">
        <v>3</v>
      </c>
      <c r="F37" s="615"/>
      <c r="G37" s="616">
        <f>E37*F37</f>
        <v>0</v>
      </c>
    </row>
    <row r="38" spans="2:7" ht="16" thickBot="1">
      <c r="B38" s="612"/>
      <c r="C38" s="584"/>
      <c r="D38" s="613"/>
      <c r="E38" s="621"/>
      <c r="F38" s="615"/>
      <c r="G38" s="616"/>
    </row>
    <row r="39" spans="2:7" ht="9" customHeight="1" thickTop="1">
      <c r="B39" s="625"/>
      <c r="C39" s="626"/>
      <c r="D39" s="627"/>
      <c r="E39" s="628"/>
      <c r="F39" s="629"/>
      <c r="G39" s="630"/>
    </row>
    <row r="40" spans="2:7">
      <c r="B40" s="631"/>
      <c r="C40" s="1536" t="s">
        <v>819</v>
      </c>
      <c r="D40" s="1536"/>
      <c r="E40" s="1536"/>
      <c r="F40" s="1536"/>
      <c r="G40" s="632"/>
    </row>
    <row r="41" spans="2:7" ht="11.4" customHeight="1" thickBot="1">
      <c r="B41" s="633"/>
      <c r="C41" s="634"/>
      <c r="D41" s="635"/>
      <c r="E41" s="636"/>
      <c r="F41" s="637"/>
      <c r="G41" s="638"/>
    </row>
    <row r="42" spans="2:7" ht="11.4" customHeight="1" thickTop="1">
      <c r="B42" s="639"/>
      <c r="C42" s="640"/>
      <c r="D42" s="641"/>
      <c r="E42" s="642"/>
      <c r="F42" s="643"/>
      <c r="G42" s="644"/>
    </row>
    <row r="43" spans="2:7">
      <c r="B43" s="1533" t="s">
        <v>1513</v>
      </c>
      <c r="C43" s="1534"/>
      <c r="D43" s="1534"/>
      <c r="E43" s="1534"/>
      <c r="F43" s="1534"/>
      <c r="G43" s="1535"/>
    </row>
    <row r="44" spans="2:7" ht="10.25" customHeight="1" thickBot="1">
      <c r="B44" s="645"/>
      <c r="C44" s="646"/>
      <c r="D44" s="647"/>
      <c r="E44" s="648"/>
      <c r="F44" s="649"/>
      <c r="G44" s="650"/>
    </row>
    <row r="45" spans="2:7" ht="32" thickTop="1" thickBot="1">
      <c r="B45" s="578" t="s">
        <v>4</v>
      </c>
      <c r="C45" s="579" t="s">
        <v>5</v>
      </c>
      <c r="D45" s="580" t="s">
        <v>6</v>
      </c>
      <c r="E45" s="581" t="s">
        <v>1</v>
      </c>
      <c r="F45" s="582" t="s">
        <v>7</v>
      </c>
      <c r="G45" s="569" t="s">
        <v>8</v>
      </c>
    </row>
    <row r="46" spans="2:7" ht="9" customHeight="1" thickTop="1">
      <c r="B46" s="698"/>
      <c r="C46" s="699"/>
      <c r="D46" s="700"/>
      <c r="E46" s="701"/>
      <c r="F46" s="702"/>
      <c r="G46" s="693"/>
    </row>
    <row r="47" spans="2:7" ht="62">
      <c r="B47" s="704" t="s">
        <v>958</v>
      </c>
      <c r="C47" s="584" t="s">
        <v>1276</v>
      </c>
      <c r="D47" s="622" t="s">
        <v>1277</v>
      </c>
      <c r="E47" s="621">
        <v>12</v>
      </c>
      <c r="F47" s="623"/>
      <c r="G47" s="624">
        <f>E47*F47</f>
        <v>0</v>
      </c>
    </row>
    <row r="48" spans="2:7">
      <c r="B48" s="564"/>
      <c r="C48" s="618"/>
      <c r="D48" s="585"/>
      <c r="E48" s="620"/>
      <c r="F48" s="591"/>
      <c r="G48" s="624">
        <f>E48*F48</f>
        <v>0</v>
      </c>
    </row>
    <row r="49" spans="2:7" ht="31">
      <c r="B49" s="564" t="s">
        <v>1278</v>
      </c>
      <c r="C49" s="584" t="s">
        <v>1279</v>
      </c>
      <c r="D49" s="585" t="s">
        <v>252</v>
      </c>
      <c r="E49" s="620">
        <v>15000</v>
      </c>
      <c r="F49" s="591"/>
      <c r="G49" s="624">
        <f>E49*F49</f>
        <v>0</v>
      </c>
    </row>
    <row r="50" spans="2:7" ht="6.75" customHeight="1">
      <c r="B50" s="564"/>
      <c r="C50" s="584"/>
      <c r="D50" s="585"/>
      <c r="E50" s="620"/>
      <c r="F50" s="591"/>
      <c r="G50" s="616"/>
    </row>
    <row r="51" spans="2:7" ht="62">
      <c r="B51" s="564" t="s">
        <v>1297</v>
      </c>
      <c r="C51" s="651" t="s">
        <v>1345</v>
      </c>
      <c r="D51" s="652" t="s">
        <v>1298</v>
      </c>
      <c r="E51" s="621">
        <v>1</v>
      </c>
      <c r="F51" s="653">
        <v>1000000</v>
      </c>
      <c r="G51" s="616">
        <f>E51*F51</f>
        <v>1000000</v>
      </c>
    </row>
    <row r="52" spans="2:7">
      <c r="B52" s="564"/>
      <c r="C52" s="1247"/>
      <c r="D52" s="652"/>
      <c r="E52" s="1248"/>
      <c r="F52" s="1249"/>
      <c r="G52" s="616"/>
    </row>
    <row r="53" spans="2:7" ht="31">
      <c r="B53" s="564" t="s">
        <v>74</v>
      </c>
      <c r="C53" s="584" t="s">
        <v>1377</v>
      </c>
      <c r="D53" s="585" t="s">
        <v>67</v>
      </c>
      <c r="E53" s="654">
        <f>G51</f>
        <v>1000000</v>
      </c>
      <c r="F53" s="655"/>
      <c r="G53" s="656">
        <f>E53*F53</f>
        <v>0</v>
      </c>
    </row>
    <row r="54" spans="2:7" ht="8.25" customHeight="1">
      <c r="B54" s="564"/>
      <c r="C54" s="618"/>
      <c r="D54" s="585"/>
      <c r="E54" s="654"/>
      <c r="F54" s="604"/>
      <c r="G54" s="592"/>
    </row>
    <row r="55" spans="2:7" ht="46.5">
      <c r="B55" s="564" t="s">
        <v>1516</v>
      </c>
      <c r="C55" s="1252" t="s">
        <v>1518</v>
      </c>
      <c r="D55" s="652" t="s">
        <v>956</v>
      </c>
      <c r="E55" s="1253">
        <v>12</v>
      </c>
      <c r="F55" s="1251"/>
      <c r="G55" s="592"/>
    </row>
    <row r="56" spans="2:7" ht="6.65" customHeight="1">
      <c r="B56" s="564"/>
      <c r="C56" s="1250"/>
      <c r="D56" s="652"/>
      <c r="E56" s="1253"/>
      <c r="F56" s="1251"/>
      <c r="G56" s="592"/>
    </row>
    <row r="57" spans="2:7" ht="46.5">
      <c r="B57" s="564" t="s">
        <v>1517</v>
      </c>
      <c r="C57" s="1252" t="s">
        <v>1519</v>
      </c>
      <c r="D57" s="652" t="s">
        <v>956</v>
      </c>
      <c r="E57" s="1253">
        <v>12</v>
      </c>
      <c r="F57" s="1251"/>
      <c r="G57" s="592"/>
    </row>
    <row r="58" spans="2:7" ht="9.75" customHeight="1">
      <c r="B58" s="564"/>
      <c r="C58" s="584"/>
      <c r="D58" s="585"/>
      <c r="E58" s="586"/>
      <c r="F58" s="591"/>
      <c r="G58" s="657"/>
    </row>
    <row r="59" spans="2:7">
      <c r="B59" s="658"/>
      <c r="C59" s="594" t="s">
        <v>254</v>
      </c>
      <c r="D59" s="659"/>
      <c r="E59" s="660"/>
      <c r="F59" s="661"/>
      <c r="G59" s="662"/>
    </row>
    <row r="60" spans="2:7">
      <c r="B60" s="564"/>
      <c r="C60" s="584"/>
      <c r="D60" s="585"/>
      <c r="E60" s="586"/>
      <c r="F60" s="591"/>
      <c r="G60" s="663"/>
    </row>
    <row r="61" spans="2:7" ht="46.5">
      <c r="B61" s="704" t="s">
        <v>75</v>
      </c>
      <c r="C61" s="664" t="s">
        <v>1515</v>
      </c>
      <c r="D61" s="652" t="s">
        <v>73</v>
      </c>
      <c r="E61" s="665">
        <v>12</v>
      </c>
      <c r="F61" s="653">
        <v>60000</v>
      </c>
      <c r="G61" s="616">
        <f>E61*F61</f>
        <v>720000</v>
      </c>
    </row>
    <row r="62" spans="2:7">
      <c r="B62" s="564"/>
      <c r="C62" s="596"/>
      <c r="D62" s="585"/>
      <c r="E62" s="586"/>
      <c r="F62" s="591"/>
      <c r="G62" s="663"/>
    </row>
    <row r="63" spans="2:7" ht="31">
      <c r="B63" s="704" t="s">
        <v>818</v>
      </c>
      <c r="C63" s="584" t="s">
        <v>1378</v>
      </c>
      <c r="D63" s="585" t="s">
        <v>67</v>
      </c>
      <c r="E63" s="610">
        <f>SUM(G61)</f>
        <v>720000</v>
      </c>
      <c r="F63" s="666"/>
      <c r="G63" s="663">
        <f>E63*F63</f>
        <v>0</v>
      </c>
    </row>
    <row r="64" spans="2:7">
      <c r="B64" s="564"/>
      <c r="C64" s="584"/>
      <c r="D64" s="585"/>
      <c r="E64" s="610"/>
      <c r="F64" s="666"/>
      <c r="G64" s="663"/>
    </row>
    <row r="65" spans="2:7" ht="62">
      <c r="B65" s="703" t="s">
        <v>1404</v>
      </c>
      <c r="C65" s="651" t="s">
        <v>1346</v>
      </c>
      <c r="D65" s="668" t="s">
        <v>0</v>
      </c>
      <c r="E65" s="669">
        <v>1</v>
      </c>
      <c r="F65" s="670"/>
      <c r="G65" s="616">
        <f>F65*E65</f>
        <v>0</v>
      </c>
    </row>
    <row r="66" spans="2:7">
      <c r="B66" s="564"/>
      <c r="C66" s="584"/>
      <c r="D66" s="585"/>
      <c r="E66" s="610"/>
      <c r="F66" s="666"/>
      <c r="G66" s="663"/>
    </row>
    <row r="67" spans="2:7">
      <c r="B67" s="583" t="s">
        <v>1409</v>
      </c>
      <c r="C67" s="594" t="s">
        <v>255</v>
      </c>
      <c r="D67" s="585"/>
      <c r="E67" s="586"/>
      <c r="F67" s="591"/>
      <c r="G67" s="592"/>
    </row>
    <row r="68" spans="2:7" ht="62">
      <c r="B68" s="564"/>
      <c r="C68" s="584" t="s">
        <v>1379</v>
      </c>
      <c r="D68" s="585"/>
      <c r="E68" s="586"/>
      <c r="F68" s="591"/>
      <c r="G68" s="592"/>
    </row>
    <row r="69" spans="2:7">
      <c r="B69" s="564"/>
      <c r="C69" s="584"/>
      <c r="D69" s="585"/>
      <c r="E69" s="586"/>
      <c r="F69" s="591"/>
      <c r="G69" s="592"/>
    </row>
    <row r="70" spans="2:7">
      <c r="B70" s="564" t="s">
        <v>1410</v>
      </c>
      <c r="C70" s="584" t="s">
        <v>1411</v>
      </c>
      <c r="D70" s="585" t="s">
        <v>1380</v>
      </c>
      <c r="E70" s="586">
        <v>12</v>
      </c>
      <c r="F70" s="591"/>
      <c r="G70" s="592"/>
    </row>
    <row r="71" spans="2:7">
      <c r="B71" s="564"/>
      <c r="C71" s="584"/>
      <c r="D71" s="585"/>
      <c r="E71" s="586"/>
      <c r="F71" s="591"/>
      <c r="G71" s="592"/>
    </row>
    <row r="72" spans="2:7">
      <c r="B72" s="564" t="s">
        <v>1412</v>
      </c>
      <c r="C72" s="584" t="s">
        <v>1413</v>
      </c>
      <c r="D72" s="585" t="s">
        <v>956</v>
      </c>
      <c r="E72" s="586">
        <v>12</v>
      </c>
      <c r="F72" s="591"/>
      <c r="G72" s="592"/>
    </row>
    <row r="73" spans="2:7">
      <c r="B73" s="564"/>
      <c r="C73" s="710"/>
      <c r="D73" s="585"/>
      <c r="E73" s="586"/>
      <c r="F73" s="591"/>
      <c r="G73" s="592"/>
    </row>
    <row r="74" spans="2:7">
      <c r="B74" s="564" t="s">
        <v>76</v>
      </c>
      <c r="C74" s="584" t="s">
        <v>1414</v>
      </c>
      <c r="D74" s="585" t="s">
        <v>956</v>
      </c>
      <c r="E74" s="586">
        <v>48</v>
      </c>
      <c r="F74" s="591"/>
      <c r="G74" s="592"/>
    </row>
    <row r="75" spans="2:7">
      <c r="B75" s="564"/>
      <c r="C75" s="584"/>
      <c r="D75" s="585"/>
      <c r="E75" s="586"/>
      <c r="F75" s="591"/>
      <c r="G75" s="592"/>
    </row>
    <row r="76" spans="2:7">
      <c r="B76" s="564" t="s">
        <v>820</v>
      </c>
      <c r="C76" s="584" t="s">
        <v>1415</v>
      </c>
      <c r="D76" s="585" t="s">
        <v>956</v>
      </c>
      <c r="E76" s="586">
        <v>36</v>
      </c>
      <c r="F76" s="591"/>
      <c r="G76" s="592"/>
    </row>
    <row r="77" spans="2:7">
      <c r="B77" s="564"/>
      <c r="C77" s="584"/>
      <c r="D77" s="585"/>
      <c r="E77" s="586"/>
      <c r="F77" s="591"/>
      <c r="G77" s="592"/>
    </row>
    <row r="78" spans="2:7" ht="31">
      <c r="B78" s="704" t="s">
        <v>1417</v>
      </c>
      <c r="C78" s="584" t="s">
        <v>1416</v>
      </c>
      <c r="D78" s="585" t="s">
        <v>67</v>
      </c>
      <c r="E78" s="705">
        <f>G70+G72+G74+G76</f>
        <v>0</v>
      </c>
      <c r="F78" s="591"/>
      <c r="G78" s="592"/>
    </row>
    <row r="79" spans="2:7" ht="6" customHeight="1">
      <c r="B79" s="564"/>
      <c r="C79" s="584"/>
      <c r="D79" s="585"/>
      <c r="E79" s="586"/>
      <c r="F79" s="591"/>
      <c r="G79" s="592"/>
    </row>
    <row r="80" spans="2:7" ht="7.25" customHeight="1" thickBot="1">
      <c r="B80" s="564"/>
      <c r="C80" s="584"/>
      <c r="D80" s="585"/>
      <c r="E80" s="586"/>
      <c r="F80" s="591"/>
      <c r="G80" s="592"/>
    </row>
    <row r="81" spans="2:7" ht="16" thickTop="1">
      <c r="B81" s="625"/>
      <c r="C81" s="626"/>
      <c r="D81" s="627"/>
      <c r="E81" s="628"/>
      <c r="F81" s="629"/>
      <c r="G81" s="630"/>
    </row>
    <row r="82" spans="2:7">
      <c r="B82" s="631"/>
      <c r="C82" s="1536" t="s">
        <v>819</v>
      </c>
      <c r="D82" s="1536"/>
      <c r="E82" s="1536"/>
      <c r="F82" s="1536"/>
      <c r="G82" s="632"/>
    </row>
    <row r="83" spans="2:7" ht="16" thickBot="1">
      <c r="B83" s="633"/>
      <c r="C83" s="634"/>
      <c r="D83" s="635"/>
      <c r="E83" s="636"/>
      <c r="F83" s="637"/>
      <c r="G83" s="638"/>
    </row>
    <row r="84" spans="2:7" ht="16" thickTop="1">
      <c r="B84" s="639"/>
      <c r="C84" s="640"/>
      <c r="D84" s="641"/>
      <c r="E84" s="642"/>
      <c r="F84" s="643"/>
      <c r="G84" s="644"/>
    </row>
    <row r="85" spans="2:7">
      <c r="B85" s="1533" t="s">
        <v>1513</v>
      </c>
      <c r="C85" s="1534"/>
      <c r="D85" s="1534"/>
      <c r="E85" s="1534"/>
      <c r="F85" s="1534"/>
      <c r="G85" s="1535"/>
    </row>
    <row r="86" spans="2:7" ht="16" thickBot="1">
      <c r="B86" s="645"/>
      <c r="C86" s="646"/>
      <c r="D86" s="647"/>
      <c r="E86" s="648"/>
      <c r="F86" s="649"/>
      <c r="G86" s="650"/>
    </row>
    <row r="87" spans="2:7" ht="32" thickTop="1" thickBot="1">
      <c r="B87" s="578" t="s">
        <v>4</v>
      </c>
      <c r="C87" s="579" t="s">
        <v>5</v>
      </c>
      <c r="D87" s="580" t="s">
        <v>6</v>
      </c>
      <c r="E87" s="581" t="s">
        <v>1</v>
      </c>
      <c r="F87" s="582" t="s">
        <v>7</v>
      </c>
      <c r="G87" s="569" t="s">
        <v>8</v>
      </c>
    </row>
    <row r="88" spans="2:7" ht="16" thickTop="1">
      <c r="B88" s="564"/>
      <c r="C88" s="584"/>
      <c r="D88" s="585"/>
      <c r="E88" s="674"/>
      <c r="F88" s="675"/>
      <c r="G88" s="592"/>
    </row>
    <row r="89" spans="2:7">
      <c r="B89" s="564"/>
      <c r="C89" s="594" t="s">
        <v>256</v>
      </c>
      <c r="D89" s="585"/>
      <c r="E89" s="586"/>
      <c r="F89" s="591"/>
      <c r="G89" s="592"/>
    </row>
    <row r="90" spans="2:7">
      <c r="B90" s="564"/>
      <c r="C90" s="584"/>
      <c r="D90" s="585"/>
      <c r="E90" s="586"/>
      <c r="F90" s="591"/>
      <c r="G90" s="592"/>
    </row>
    <row r="91" spans="2:7" ht="31">
      <c r="B91" s="564" t="s">
        <v>821</v>
      </c>
      <c r="C91" s="584" t="s">
        <v>1418</v>
      </c>
      <c r="D91" s="585" t="s">
        <v>11</v>
      </c>
      <c r="E91" s="586">
        <v>1</v>
      </c>
      <c r="F91" s="591">
        <v>500000</v>
      </c>
      <c r="G91" s="592">
        <f>E91*F91</f>
        <v>500000</v>
      </c>
    </row>
    <row r="92" spans="2:7">
      <c r="B92" s="564"/>
      <c r="C92" s="584"/>
      <c r="D92" s="585"/>
      <c r="E92" s="586"/>
      <c r="F92" s="591"/>
      <c r="G92" s="592"/>
    </row>
    <row r="93" spans="2:7" ht="31">
      <c r="B93" s="564" t="s">
        <v>822</v>
      </c>
      <c r="C93" s="584" t="s">
        <v>1419</v>
      </c>
      <c r="D93" s="585" t="s">
        <v>67</v>
      </c>
      <c r="E93" s="671">
        <f>G91</f>
        <v>500000</v>
      </c>
      <c r="F93" s="672"/>
      <c r="G93" s="656">
        <f>E93*F93</f>
        <v>0</v>
      </c>
    </row>
    <row r="94" spans="2:7">
      <c r="B94" s="564"/>
      <c r="C94" s="584"/>
      <c r="D94" s="585"/>
      <c r="E94" s="586"/>
      <c r="F94" s="591"/>
      <c r="G94" s="592"/>
    </row>
    <row r="95" spans="2:7">
      <c r="B95" s="564" t="s">
        <v>1421</v>
      </c>
      <c r="C95" s="594" t="s">
        <v>1420</v>
      </c>
      <c r="D95" s="585"/>
      <c r="E95" s="586"/>
      <c r="F95" s="591"/>
      <c r="G95" s="592"/>
    </row>
    <row r="96" spans="2:7">
      <c r="B96" s="564"/>
      <c r="C96" s="584"/>
      <c r="D96" s="585"/>
      <c r="E96" s="586"/>
      <c r="F96" s="591"/>
      <c r="G96" s="592"/>
    </row>
    <row r="97" spans="2:7" ht="31">
      <c r="B97" s="564" t="s">
        <v>1422</v>
      </c>
      <c r="C97" s="584" t="s">
        <v>1383</v>
      </c>
      <c r="D97" s="585" t="s">
        <v>10</v>
      </c>
      <c r="E97" s="586">
        <v>5</v>
      </c>
      <c r="F97" s="591"/>
      <c r="G97" s="656">
        <f>E97*F97</f>
        <v>0</v>
      </c>
    </row>
    <row r="98" spans="2:7">
      <c r="B98" s="564"/>
      <c r="C98" s="584"/>
      <c r="D98" s="585"/>
      <c r="E98" s="586"/>
      <c r="F98" s="591"/>
      <c r="G98" s="592"/>
    </row>
    <row r="99" spans="2:7" ht="46.5">
      <c r="B99" s="564" t="s">
        <v>1423</v>
      </c>
      <c r="C99" s="584" t="s">
        <v>930</v>
      </c>
      <c r="D99" s="652" t="s">
        <v>0</v>
      </c>
      <c r="E99" s="665" t="s">
        <v>1259</v>
      </c>
      <c r="F99" s="653"/>
      <c r="G99" s="678"/>
    </row>
    <row r="100" spans="2:7">
      <c r="B100" s="564"/>
      <c r="C100" s="584"/>
      <c r="D100" s="585"/>
      <c r="E100" s="586"/>
      <c r="F100" s="591"/>
      <c r="G100" s="592"/>
    </row>
    <row r="101" spans="2:7">
      <c r="B101" s="564"/>
      <c r="C101" s="594" t="s">
        <v>257</v>
      </c>
      <c r="D101" s="585"/>
      <c r="E101" s="673"/>
      <c r="F101" s="591"/>
      <c r="G101" s="592"/>
    </row>
    <row r="102" spans="2:7">
      <c r="B102" s="564"/>
      <c r="C102" s="584"/>
      <c r="D102" s="585"/>
      <c r="E102" s="586"/>
      <c r="F102" s="591"/>
      <c r="G102" s="592"/>
    </row>
    <row r="103" spans="2:7" ht="31">
      <c r="B103" s="704" t="s">
        <v>823</v>
      </c>
      <c r="C103" s="584" t="s">
        <v>1381</v>
      </c>
      <c r="D103" s="585" t="s">
        <v>11</v>
      </c>
      <c r="E103" s="668">
        <v>1</v>
      </c>
      <c r="F103" s="706">
        <v>5000000</v>
      </c>
      <c r="G103" s="707">
        <f>E103*F103</f>
        <v>5000000</v>
      </c>
    </row>
    <row r="104" spans="2:7">
      <c r="B104" s="564"/>
      <c r="C104" s="584"/>
      <c r="D104" s="585"/>
      <c r="E104" s="668"/>
      <c r="F104" s="591"/>
      <c r="G104" s="708"/>
    </row>
    <row r="105" spans="2:7" ht="77.5">
      <c r="B105" s="704" t="s">
        <v>1424</v>
      </c>
      <c r="C105" s="584" t="s">
        <v>1426</v>
      </c>
      <c r="D105" s="652" t="s">
        <v>66</v>
      </c>
      <c r="E105" s="668">
        <v>1</v>
      </c>
      <c r="F105" s="706">
        <v>5000000</v>
      </c>
      <c r="G105" s="708">
        <f>E105*F105</f>
        <v>5000000</v>
      </c>
    </row>
    <row r="106" spans="2:7">
      <c r="B106" s="564"/>
      <c r="C106" s="584"/>
      <c r="D106" s="585"/>
      <c r="E106" s="673"/>
      <c r="F106" s="591"/>
      <c r="G106" s="592"/>
    </row>
    <row r="107" spans="2:7" ht="31">
      <c r="B107" s="704" t="s">
        <v>1425</v>
      </c>
      <c r="C107" s="584" t="s">
        <v>1427</v>
      </c>
      <c r="D107" s="652" t="s">
        <v>67</v>
      </c>
      <c r="E107" s="709">
        <f>G103+G105</f>
        <v>10000000</v>
      </c>
      <c r="F107" s="675"/>
      <c r="G107" s="656">
        <f>E107*F107</f>
        <v>0</v>
      </c>
    </row>
    <row r="108" spans="2:7">
      <c r="B108" s="564"/>
      <c r="C108" s="584"/>
      <c r="D108" s="585"/>
      <c r="E108" s="674"/>
      <c r="F108" s="675"/>
      <c r="G108" s="592"/>
    </row>
    <row r="109" spans="2:7" ht="46.5">
      <c r="B109" s="564" t="s">
        <v>824</v>
      </c>
      <c r="C109" s="596" t="s">
        <v>1512</v>
      </c>
      <c r="D109" s="652" t="s">
        <v>1259</v>
      </c>
      <c r="E109" s="674"/>
      <c r="F109" s="675"/>
      <c r="G109" s="592"/>
    </row>
    <row r="110" spans="2:7">
      <c r="B110" s="564"/>
      <c r="C110" s="584"/>
      <c r="D110" s="585"/>
      <c r="E110" s="674"/>
      <c r="F110" s="675"/>
      <c r="G110" s="592"/>
    </row>
    <row r="111" spans="2:7">
      <c r="B111" s="564"/>
      <c r="C111" s="676" t="s">
        <v>77</v>
      </c>
      <c r="D111" s="585"/>
      <c r="E111" s="586"/>
      <c r="F111" s="591"/>
      <c r="G111" s="677"/>
    </row>
    <row r="112" spans="2:7">
      <c r="B112" s="564"/>
      <c r="C112" s="584"/>
      <c r="D112" s="585"/>
      <c r="E112" s="586"/>
      <c r="F112" s="591"/>
      <c r="G112" s="592"/>
    </row>
    <row r="113" spans="2:7" ht="93">
      <c r="B113" s="564"/>
      <c r="C113" s="584" t="s">
        <v>259</v>
      </c>
      <c r="D113" s="585"/>
      <c r="E113" s="586"/>
      <c r="F113" s="591"/>
      <c r="G113" s="592"/>
    </row>
    <row r="114" spans="2:7">
      <c r="B114" s="564"/>
      <c r="C114" s="584"/>
      <c r="D114" s="585"/>
      <c r="E114" s="586"/>
      <c r="F114" s="591"/>
      <c r="G114" s="592"/>
    </row>
    <row r="115" spans="2:7">
      <c r="B115" s="564"/>
      <c r="C115" s="594" t="s">
        <v>258</v>
      </c>
      <c r="D115" s="585"/>
      <c r="E115" s="586"/>
      <c r="F115" s="591"/>
      <c r="G115" s="592"/>
    </row>
    <row r="116" spans="2:7">
      <c r="B116" s="564"/>
      <c r="C116" s="584"/>
      <c r="D116" s="585"/>
      <c r="E116" s="586"/>
      <c r="F116" s="591"/>
      <c r="G116" s="592"/>
    </row>
    <row r="117" spans="2:7" ht="61.25" customHeight="1">
      <c r="B117" s="564" t="s">
        <v>825</v>
      </c>
      <c r="C117" s="584" t="s">
        <v>260</v>
      </c>
      <c r="D117" s="652" t="s">
        <v>0</v>
      </c>
      <c r="E117" s="665" t="s">
        <v>1259</v>
      </c>
      <c r="F117" s="653"/>
      <c r="G117" s="678"/>
    </row>
    <row r="118" spans="2:7">
      <c r="B118" s="564"/>
      <c r="C118" s="584"/>
      <c r="D118" s="585"/>
      <c r="E118" s="586"/>
      <c r="F118" s="591"/>
      <c r="G118" s="592"/>
    </row>
    <row r="119" spans="2:7" ht="16" thickBot="1">
      <c r="B119" s="564"/>
      <c r="C119" s="584"/>
      <c r="D119" s="652"/>
      <c r="E119" s="665"/>
      <c r="F119" s="653"/>
      <c r="G119" s="678"/>
    </row>
    <row r="120" spans="2:7" ht="16" thickTop="1">
      <c r="B120" s="625"/>
      <c r="C120" s="626"/>
      <c r="D120" s="627"/>
      <c r="E120" s="628"/>
      <c r="F120" s="629"/>
      <c r="G120" s="630"/>
    </row>
    <row r="121" spans="2:7">
      <c r="B121" s="631"/>
      <c r="C121" s="1536" t="s">
        <v>819</v>
      </c>
      <c r="D121" s="1536"/>
      <c r="E121" s="1536"/>
      <c r="F121" s="1536"/>
      <c r="G121" s="632"/>
    </row>
    <row r="122" spans="2:7" ht="16" thickBot="1">
      <c r="B122" s="633"/>
      <c r="C122" s="634"/>
      <c r="D122" s="635"/>
      <c r="E122" s="636"/>
      <c r="F122" s="637"/>
      <c r="G122" s="638"/>
    </row>
    <row r="123" spans="2:7" ht="16" thickTop="1">
      <c r="B123" s="639"/>
      <c r="C123" s="640"/>
      <c r="D123" s="641"/>
      <c r="E123" s="642"/>
      <c r="F123" s="643"/>
      <c r="G123" s="644"/>
    </row>
    <row r="124" spans="2:7">
      <c r="B124" s="1533" t="s">
        <v>1513</v>
      </c>
      <c r="C124" s="1534"/>
      <c r="D124" s="1534"/>
      <c r="E124" s="1534"/>
      <c r="F124" s="1534"/>
      <c r="G124" s="1535"/>
    </row>
    <row r="125" spans="2:7" ht="16" thickBot="1">
      <c r="B125" s="645"/>
      <c r="C125" s="646"/>
      <c r="D125" s="647"/>
      <c r="E125" s="648"/>
      <c r="F125" s="649"/>
      <c r="G125" s="650"/>
    </row>
    <row r="126" spans="2:7" ht="32" thickTop="1" thickBot="1">
      <c r="B126" s="578" t="s">
        <v>4</v>
      </c>
      <c r="C126" s="579" t="s">
        <v>5</v>
      </c>
      <c r="D126" s="580" t="s">
        <v>6</v>
      </c>
      <c r="E126" s="581" t="s">
        <v>1</v>
      </c>
      <c r="F126" s="582" t="s">
        <v>7</v>
      </c>
      <c r="G126" s="569" t="s">
        <v>8</v>
      </c>
    </row>
    <row r="127" spans="2:7" ht="16" thickTop="1">
      <c r="B127" s="564"/>
      <c r="C127" s="584"/>
      <c r="D127" s="585"/>
      <c r="E127" s="586"/>
      <c r="F127" s="591"/>
      <c r="G127" s="592"/>
    </row>
    <row r="128" spans="2:7" ht="62">
      <c r="B128" s="564" t="s">
        <v>1388</v>
      </c>
      <c r="C128" s="584" t="s">
        <v>1384</v>
      </c>
      <c r="D128" s="652" t="s">
        <v>253</v>
      </c>
      <c r="E128" s="621">
        <v>1</v>
      </c>
      <c r="F128" s="653">
        <v>1500000</v>
      </c>
      <c r="G128" s="678">
        <f>E128*F128</f>
        <v>1500000</v>
      </c>
    </row>
    <row r="129" spans="2:7">
      <c r="B129" s="564"/>
      <c r="C129" s="584"/>
      <c r="D129" s="585"/>
      <c r="E129" s="620"/>
      <c r="F129" s="591"/>
      <c r="G129" s="592"/>
    </row>
    <row r="130" spans="2:7" ht="62">
      <c r="B130" s="564" t="s">
        <v>1387</v>
      </c>
      <c r="C130" s="584" t="s">
        <v>1521</v>
      </c>
      <c r="D130" s="652" t="s">
        <v>253</v>
      </c>
      <c r="E130" s="621">
        <v>1</v>
      </c>
      <c r="F130" s="653">
        <v>2500000</v>
      </c>
      <c r="G130" s="678">
        <f>E130*F130</f>
        <v>2500000</v>
      </c>
    </row>
    <row r="131" spans="2:7">
      <c r="B131" s="564"/>
      <c r="C131" s="584"/>
      <c r="D131" s="585"/>
      <c r="E131" s="620"/>
      <c r="F131" s="591"/>
      <c r="G131" s="592"/>
    </row>
    <row r="132" spans="2:7" s="680" customFormat="1" ht="62">
      <c r="B132" s="595" t="s">
        <v>826</v>
      </c>
      <c r="C132" s="596" t="s">
        <v>1317</v>
      </c>
      <c r="D132" s="598" t="s">
        <v>66</v>
      </c>
      <c r="E132" s="679">
        <v>1</v>
      </c>
      <c r="F132" s="600">
        <v>1000000</v>
      </c>
      <c r="G132" s="606">
        <f>E132*F132</f>
        <v>1000000</v>
      </c>
    </row>
    <row r="133" spans="2:7" ht="9" customHeight="1">
      <c r="B133" s="564"/>
      <c r="C133" s="584"/>
      <c r="D133" s="585"/>
      <c r="E133" s="586"/>
      <c r="F133" s="591"/>
      <c r="G133" s="606"/>
    </row>
    <row r="134" spans="2:7" ht="93">
      <c r="B134" s="564" t="s">
        <v>827</v>
      </c>
      <c r="C134" s="584" t="s">
        <v>1318</v>
      </c>
      <c r="D134" s="652" t="s">
        <v>253</v>
      </c>
      <c r="E134" s="621">
        <v>1</v>
      </c>
      <c r="F134" s="653">
        <v>2000000</v>
      </c>
      <c r="G134" s="606">
        <f>E134*F134</f>
        <v>2000000</v>
      </c>
    </row>
    <row r="135" spans="2:7" ht="6.75" customHeight="1">
      <c r="B135" s="564"/>
      <c r="C135" s="618"/>
      <c r="D135" s="585"/>
      <c r="E135" s="620"/>
      <c r="F135" s="591"/>
      <c r="G135" s="592"/>
    </row>
    <row r="136" spans="2:7" ht="62">
      <c r="B136" s="564" t="s">
        <v>1385</v>
      </c>
      <c r="C136" s="584" t="s">
        <v>1319</v>
      </c>
      <c r="D136" s="652" t="s">
        <v>253</v>
      </c>
      <c r="E136" s="621">
        <v>1</v>
      </c>
      <c r="F136" s="653">
        <v>1500000</v>
      </c>
      <c r="G136" s="678">
        <f>E136*F136</f>
        <v>1500000</v>
      </c>
    </row>
    <row r="137" spans="2:7" ht="9.75" customHeight="1">
      <c r="B137" s="564"/>
      <c r="C137" s="618"/>
      <c r="D137" s="585"/>
      <c r="E137" s="620"/>
      <c r="F137" s="591"/>
      <c r="G137" s="592"/>
    </row>
    <row r="138" spans="2:7" ht="93">
      <c r="B138" s="564" t="s">
        <v>1386</v>
      </c>
      <c r="C138" s="596" t="s">
        <v>1392</v>
      </c>
      <c r="D138" s="652" t="s">
        <v>253</v>
      </c>
      <c r="E138" s="621">
        <v>1</v>
      </c>
      <c r="F138" s="653">
        <v>10000000</v>
      </c>
      <c r="G138" s="678">
        <f>E138*F138</f>
        <v>10000000</v>
      </c>
    </row>
    <row r="139" spans="2:7" ht="21" customHeight="1">
      <c r="B139" s="564"/>
      <c r="C139" s="584"/>
      <c r="D139" s="652"/>
      <c r="E139" s="621"/>
      <c r="F139" s="653"/>
      <c r="G139" s="678"/>
    </row>
    <row r="140" spans="2:7" ht="115.75" customHeight="1">
      <c r="B140" s="704" t="s">
        <v>1389</v>
      </c>
      <c r="C140" s="681" t="s">
        <v>1514</v>
      </c>
      <c r="D140" s="652" t="s">
        <v>253</v>
      </c>
      <c r="E140" s="621">
        <v>1</v>
      </c>
      <c r="F140" s="653">
        <v>15000000</v>
      </c>
      <c r="G140" s="678">
        <f>F140*E140</f>
        <v>15000000</v>
      </c>
    </row>
    <row r="141" spans="2:7">
      <c r="B141" s="564"/>
      <c r="C141" s="682"/>
      <c r="D141" s="585"/>
      <c r="E141" s="620"/>
      <c r="F141" s="591"/>
      <c r="G141" s="592"/>
    </row>
    <row r="142" spans="2:7" ht="30.65" customHeight="1">
      <c r="B142" s="564" t="s">
        <v>1390</v>
      </c>
      <c r="C142" s="584" t="s">
        <v>1391</v>
      </c>
      <c r="D142" s="673" t="s">
        <v>67</v>
      </c>
      <c r="E142" s="610">
        <f>G128+G130+G132+G134+G136+G138+G140</f>
        <v>33500000</v>
      </c>
      <c r="F142" s="683"/>
      <c r="G142" s="592">
        <f>E142*F142%</f>
        <v>0</v>
      </c>
    </row>
    <row r="143" spans="2:7">
      <c r="B143" s="564"/>
      <c r="C143" s="584"/>
      <c r="D143" s="585"/>
      <c r="E143" s="586"/>
      <c r="F143" s="591"/>
      <c r="G143" s="592"/>
    </row>
    <row r="144" spans="2:7">
      <c r="B144" s="564"/>
      <c r="C144" s="584"/>
      <c r="D144" s="585"/>
      <c r="E144" s="586"/>
      <c r="F144" s="591"/>
      <c r="G144" s="592"/>
    </row>
    <row r="145" spans="2:7" ht="16" thickBot="1">
      <c r="B145" s="564"/>
      <c r="C145" s="584"/>
      <c r="D145" s="585"/>
      <c r="E145" s="586"/>
      <c r="F145" s="591"/>
      <c r="G145" s="592"/>
    </row>
    <row r="146" spans="2:7" ht="16" thickTop="1">
      <c r="B146" s="625"/>
      <c r="C146" s="626"/>
      <c r="D146" s="627"/>
      <c r="E146" s="628"/>
      <c r="F146" s="629"/>
      <c r="G146" s="630"/>
    </row>
    <row r="147" spans="2:7">
      <c r="B147" s="631"/>
      <c r="C147" s="1536" t="s">
        <v>819</v>
      </c>
      <c r="D147" s="1536"/>
      <c r="E147" s="1536"/>
      <c r="F147" s="1536"/>
      <c r="G147" s="632"/>
    </row>
    <row r="148" spans="2:7" ht="16" thickBot="1">
      <c r="B148" s="633"/>
      <c r="C148" s="634"/>
      <c r="D148" s="635"/>
      <c r="E148" s="636"/>
      <c r="F148" s="637"/>
      <c r="G148" s="638"/>
    </row>
    <row r="149" spans="2:7" ht="16" thickTop="1">
      <c r="B149" s="639"/>
      <c r="C149" s="640"/>
      <c r="D149" s="641"/>
      <c r="E149" s="642"/>
      <c r="F149" s="643"/>
      <c r="G149" s="644"/>
    </row>
    <row r="150" spans="2:7">
      <c r="B150" s="1533" t="s">
        <v>247</v>
      </c>
      <c r="C150" s="1534"/>
      <c r="D150" s="1534"/>
      <c r="E150" s="1534"/>
      <c r="F150" s="1534"/>
      <c r="G150" s="1535"/>
    </row>
    <row r="151" spans="2:7" ht="16" thickBot="1">
      <c r="B151" s="645"/>
      <c r="C151" s="646"/>
      <c r="D151" s="647"/>
      <c r="E151" s="648"/>
      <c r="F151" s="649"/>
      <c r="G151" s="650"/>
    </row>
    <row r="152" spans="2:7" ht="32" thickTop="1" thickBot="1">
      <c r="B152" s="578" t="s">
        <v>4</v>
      </c>
      <c r="C152" s="579" t="s">
        <v>5</v>
      </c>
      <c r="D152" s="580" t="s">
        <v>6</v>
      </c>
      <c r="E152" s="581" t="s">
        <v>1</v>
      </c>
      <c r="F152" s="582" t="s">
        <v>7</v>
      </c>
      <c r="G152" s="569" t="s">
        <v>8</v>
      </c>
    </row>
    <row r="153" spans="2:7" ht="16" thickTop="1">
      <c r="B153" s="667"/>
      <c r="C153" s="684"/>
      <c r="D153" s="673"/>
      <c r="E153" s="586"/>
      <c r="F153" s="591"/>
      <c r="G153" s="656"/>
    </row>
    <row r="154" spans="2:7">
      <c r="B154" s="667"/>
      <c r="C154" s="685" t="s">
        <v>900</v>
      </c>
      <c r="D154" s="673"/>
      <c r="E154" s="586"/>
      <c r="F154" s="591"/>
      <c r="G154" s="656"/>
    </row>
    <row r="155" spans="2:7">
      <c r="B155" s="667"/>
      <c r="C155" s="584"/>
      <c r="D155" s="673"/>
      <c r="E155" s="620"/>
      <c r="F155" s="591"/>
      <c r="G155" s="656"/>
    </row>
    <row r="156" spans="2:7">
      <c r="B156" s="667">
        <v>1</v>
      </c>
      <c r="C156" s="686" t="s">
        <v>239</v>
      </c>
      <c r="D156" s="673"/>
      <c r="E156" s="620"/>
      <c r="F156" s="591"/>
      <c r="G156" s="687">
        <f>G40</f>
        <v>0</v>
      </c>
    </row>
    <row r="157" spans="2:7">
      <c r="B157" s="667"/>
      <c r="C157" s="584"/>
      <c r="D157" s="673"/>
      <c r="E157" s="586"/>
      <c r="F157" s="591"/>
      <c r="G157" s="687"/>
    </row>
    <row r="158" spans="2:7">
      <c r="B158" s="667">
        <v>2</v>
      </c>
      <c r="C158" s="686" t="s">
        <v>240</v>
      </c>
      <c r="D158" s="673"/>
      <c r="E158" s="620"/>
      <c r="F158" s="591"/>
      <c r="G158" s="687">
        <f>G82</f>
        <v>0</v>
      </c>
    </row>
    <row r="159" spans="2:7">
      <c r="B159" s="667"/>
      <c r="C159" s="618"/>
      <c r="D159" s="673"/>
      <c r="E159" s="620"/>
      <c r="F159" s="591"/>
      <c r="G159" s="687"/>
    </row>
    <row r="160" spans="2:7">
      <c r="B160" s="667">
        <v>3</v>
      </c>
      <c r="C160" s="686" t="s">
        <v>241</v>
      </c>
      <c r="D160" s="673"/>
      <c r="E160" s="620"/>
      <c r="F160" s="591"/>
      <c r="G160" s="687">
        <f>G121</f>
        <v>0</v>
      </c>
    </row>
    <row r="161" spans="2:7">
      <c r="B161" s="667"/>
      <c r="C161" s="618"/>
      <c r="D161" s="673"/>
      <c r="E161" s="620"/>
      <c r="F161" s="591"/>
      <c r="G161" s="656"/>
    </row>
    <row r="162" spans="2:7">
      <c r="B162" s="667">
        <v>4</v>
      </c>
      <c r="C162" s="686" t="s">
        <v>1403</v>
      </c>
      <c r="D162" s="673"/>
      <c r="E162" s="620"/>
      <c r="F162" s="591"/>
      <c r="G162" s="656">
        <f>G147</f>
        <v>0</v>
      </c>
    </row>
    <row r="163" spans="2:7">
      <c r="B163" s="667"/>
      <c r="C163" s="584"/>
      <c r="D163" s="673"/>
      <c r="E163" s="586"/>
      <c r="F163" s="591"/>
      <c r="G163" s="656"/>
    </row>
    <row r="164" spans="2:7">
      <c r="B164" s="667"/>
      <c r="C164" s="584"/>
      <c r="D164" s="673"/>
      <c r="E164" s="586"/>
      <c r="F164" s="591"/>
      <c r="G164" s="656"/>
    </row>
    <row r="165" spans="2:7">
      <c r="B165" s="667"/>
      <c r="C165" s="584"/>
      <c r="D165" s="673"/>
      <c r="E165" s="586"/>
      <c r="F165" s="591"/>
      <c r="G165" s="656"/>
    </row>
    <row r="166" spans="2:7">
      <c r="B166" s="667"/>
      <c r="C166" s="584"/>
      <c r="D166" s="673"/>
      <c r="E166" s="586"/>
      <c r="F166" s="591"/>
      <c r="G166" s="656"/>
    </row>
    <row r="167" spans="2:7">
      <c r="B167" s="667"/>
      <c r="C167" s="584"/>
      <c r="D167" s="673"/>
      <c r="E167" s="586"/>
      <c r="F167" s="591"/>
      <c r="G167" s="656"/>
    </row>
    <row r="168" spans="2:7">
      <c r="B168" s="667"/>
      <c r="C168" s="584"/>
      <c r="D168" s="673"/>
      <c r="E168" s="586"/>
      <c r="F168" s="591"/>
      <c r="G168" s="656"/>
    </row>
    <row r="169" spans="2:7">
      <c r="B169" s="667"/>
      <c r="C169" s="584"/>
      <c r="D169" s="673"/>
      <c r="E169" s="586"/>
      <c r="F169" s="591"/>
      <c r="G169" s="656"/>
    </row>
    <row r="170" spans="2:7">
      <c r="B170" s="667"/>
      <c r="C170" s="584"/>
      <c r="D170" s="673"/>
      <c r="E170" s="586"/>
      <c r="F170" s="591"/>
      <c r="G170" s="656"/>
    </row>
    <row r="171" spans="2:7">
      <c r="B171" s="667"/>
      <c r="C171" s="584"/>
      <c r="D171" s="673"/>
      <c r="E171" s="586"/>
      <c r="F171" s="591"/>
      <c r="G171" s="656"/>
    </row>
    <row r="172" spans="2:7">
      <c r="B172" s="667"/>
      <c r="C172" s="584"/>
      <c r="D172" s="673"/>
      <c r="E172" s="586"/>
      <c r="F172" s="591"/>
      <c r="G172" s="656"/>
    </row>
    <row r="173" spans="2:7">
      <c r="B173" s="667"/>
      <c r="C173" s="584"/>
      <c r="D173" s="673"/>
      <c r="E173" s="586"/>
      <c r="F173" s="591"/>
      <c r="G173" s="656"/>
    </row>
    <row r="174" spans="2:7">
      <c r="B174" s="667"/>
      <c r="C174" s="584"/>
      <c r="D174" s="673"/>
      <c r="E174" s="586"/>
      <c r="F174" s="591"/>
      <c r="G174" s="656"/>
    </row>
    <row r="175" spans="2:7">
      <c r="B175" s="667"/>
      <c r="C175" s="584"/>
      <c r="D175" s="673"/>
      <c r="E175" s="586"/>
      <c r="F175" s="591"/>
      <c r="G175" s="656"/>
    </row>
    <row r="176" spans="2:7">
      <c r="B176" s="688"/>
      <c r="C176" s="689"/>
      <c r="D176" s="690"/>
      <c r="E176" s="691"/>
      <c r="F176" s="692"/>
      <c r="G176" s="693"/>
    </row>
    <row r="177" spans="2:7">
      <c r="B177" s="688"/>
      <c r="C177" s="689"/>
      <c r="D177" s="690"/>
      <c r="E177" s="691"/>
      <c r="F177" s="692"/>
      <c r="G177" s="693"/>
    </row>
    <row r="178" spans="2:7">
      <c r="B178" s="688"/>
      <c r="C178" s="689"/>
      <c r="D178" s="690"/>
      <c r="E178" s="691"/>
      <c r="F178" s="692"/>
      <c r="G178" s="693"/>
    </row>
    <row r="179" spans="2:7">
      <c r="B179" s="688"/>
      <c r="C179" s="689"/>
      <c r="D179" s="690"/>
      <c r="E179" s="691"/>
      <c r="F179" s="692"/>
      <c r="G179" s="693"/>
    </row>
    <row r="180" spans="2:7">
      <c r="B180" s="688"/>
      <c r="C180" s="689"/>
      <c r="D180" s="690"/>
      <c r="E180" s="691"/>
      <c r="F180" s="692"/>
      <c r="G180" s="693"/>
    </row>
    <row r="181" spans="2:7">
      <c r="B181" s="688"/>
      <c r="C181" s="689"/>
      <c r="D181" s="690"/>
      <c r="E181" s="691"/>
      <c r="F181" s="692"/>
      <c r="G181" s="693"/>
    </row>
    <row r="182" spans="2:7">
      <c r="B182" s="688"/>
      <c r="C182" s="689"/>
      <c r="D182" s="690"/>
      <c r="E182" s="691"/>
      <c r="F182" s="692"/>
      <c r="G182" s="693"/>
    </row>
    <row r="183" spans="2:7">
      <c r="B183" s="688"/>
      <c r="C183" s="689"/>
      <c r="D183" s="690"/>
      <c r="E183" s="691"/>
      <c r="F183" s="692"/>
      <c r="G183" s="693"/>
    </row>
    <row r="184" spans="2:7">
      <c r="B184" s="688"/>
      <c r="C184" s="689"/>
      <c r="D184" s="690"/>
      <c r="E184" s="691"/>
      <c r="F184" s="692"/>
      <c r="G184" s="693"/>
    </row>
    <row r="185" spans="2:7">
      <c r="B185" s="688"/>
      <c r="C185" s="689"/>
      <c r="D185" s="690"/>
      <c r="E185" s="691"/>
      <c r="F185" s="692"/>
      <c r="G185" s="693"/>
    </row>
    <row r="186" spans="2:7">
      <c r="B186" s="688"/>
      <c r="C186" s="689"/>
      <c r="D186" s="690"/>
      <c r="E186" s="691"/>
      <c r="F186" s="692"/>
      <c r="G186" s="693"/>
    </row>
    <row r="187" spans="2:7">
      <c r="B187" s="688"/>
      <c r="C187" s="689"/>
      <c r="D187" s="690"/>
      <c r="E187" s="691"/>
      <c r="F187" s="692"/>
      <c r="G187" s="693"/>
    </row>
    <row r="188" spans="2:7">
      <c r="B188" s="688"/>
      <c r="C188" s="689"/>
      <c r="D188" s="690"/>
      <c r="E188" s="691"/>
      <c r="F188" s="692"/>
      <c r="G188" s="693"/>
    </row>
    <row r="189" spans="2:7">
      <c r="B189" s="688"/>
      <c r="C189" s="689"/>
      <c r="D189" s="690"/>
      <c r="E189" s="691"/>
      <c r="F189" s="692"/>
      <c r="G189" s="693"/>
    </row>
    <row r="190" spans="2:7">
      <c r="B190" s="688"/>
      <c r="C190" s="689"/>
      <c r="D190" s="690"/>
      <c r="E190" s="691"/>
      <c r="F190" s="692"/>
      <c r="G190" s="693"/>
    </row>
    <row r="191" spans="2:7">
      <c r="B191" s="688"/>
      <c r="C191" s="689"/>
      <c r="D191" s="690"/>
      <c r="E191" s="691"/>
      <c r="F191" s="692"/>
      <c r="G191" s="693"/>
    </row>
    <row r="192" spans="2:7">
      <c r="B192" s="688"/>
      <c r="C192" s="689"/>
      <c r="D192" s="690"/>
      <c r="E192" s="691"/>
      <c r="F192" s="692"/>
      <c r="G192" s="693"/>
    </row>
    <row r="193" spans="2:7">
      <c r="B193" s="688"/>
      <c r="C193" s="689"/>
      <c r="D193" s="690"/>
      <c r="E193" s="691"/>
      <c r="F193" s="692"/>
      <c r="G193" s="693"/>
    </row>
    <row r="194" spans="2:7">
      <c r="B194" s="688"/>
      <c r="C194" s="689"/>
      <c r="D194" s="690"/>
      <c r="E194" s="691"/>
      <c r="F194" s="692"/>
      <c r="G194" s="693"/>
    </row>
    <row r="195" spans="2:7">
      <c r="B195" s="688"/>
      <c r="C195" s="689"/>
      <c r="D195" s="690"/>
      <c r="E195" s="691"/>
      <c r="F195" s="692"/>
      <c r="G195" s="693"/>
    </row>
    <row r="196" spans="2:7">
      <c r="B196" s="688"/>
      <c r="C196" s="689"/>
      <c r="D196" s="690"/>
      <c r="E196" s="691"/>
      <c r="F196" s="692"/>
      <c r="G196" s="693"/>
    </row>
    <row r="197" spans="2:7">
      <c r="B197" s="667"/>
      <c r="C197" s="584"/>
      <c r="D197" s="673"/>
      <c r="E197" s="586"/>
      <c r="F197" s="591"/>
      <c r="G197" s="656"/>
    </row>
    <row r="198" spans="2:7">
      <c r="B198" s="667"/>
      <c r="C198" s="584"/>
      <c r="D198" s="673"/>
      <c r="E198" s="586"/>
      <c r="F198" s="591"/>
      <c r="G198" s="656"/>
    </row>
    <row r="199" spans="2:7">
      <c r="B199" s="667"/>
      <c r="C199" s="584"/>
      <c r="D199" s="673"/>
      <c r="E199" s="586"/>
      <c r="F199" s="591"/>
      <c r="G199" s="656"/>
    </row>
    <row r="200" spans="2:7">
      <c r="B200" s="667"/>
      <c r="C200" s="584"/>
      <c r="D200" s="673"/>
      <c r="E200" s="586"/>
      <c r="F200" s="591"/>
      <c r="G200" s="656"/>
    </row>
    <row r="201" spans="2:7">
      <c r="B201" s="667"/>
      <c r="C201" s="686"/>
      <c r="D201" s="673"/>
      <c r="E201" s="620"/>
      <c r="F201" s="591"/>
      <c r="G201" s="656"/>
    </row>
    <row r="202" spans="2:7">
      <c r="B202" s="667"/>
      <c r="C202" s="686"/>
      <c r="D202" s="673"/>
      <c r="E202" s="620"/>
      <c r="F202" s="591"/>
      <c r="G202" s="656"/>
    </row>
    <row r="203" spans="2:7">
      <c r="B203" s="667"/>
      <c r="C203" s="686"/>
      <c r="D203" s="673"/>
      <c r="E203" s="620"/>
      <c r="F203" s="591"/>
      <c r="G203" s="656"/>
    </row>
    <row r="204" spans="2:7">
      <c r="B204" s="667"/>
      <c r="C204" s="686"/>
      <c r="D204" s="673"/>
      <c r="E204" s="620"/>
      <c r="F204" s="591"/>
      <c r="G204" s="656"/>
    </row>
    <row r="205" spans="2:7" ht="16" thickBot="1">
      <c r="B205" s="667"/>
      <c r="C205" s="584"/>
      <c r="D205" s="673"/>
      <c r="E205" s="586"/>
      <c r="F205" s="591"/>
      <c r="G205" s="656"/>
    </row>
    <row r="206" spans="2:7" ht="9" customHeight="1" thickTop="1">
      <c r="B206" s="625"/>
      <c r="C206" s="626"/>
      <c r="D206" s="627"/>
      <c r="E206" s="628"/>
      <c r="F206" s="629"/>
      <c r="G206" s="630"/>
    </row>
    <row r="207" spans="2:7">
      <c r="B207" s="631"/>
      <c r="C207" s="1536" t="s">
        <v>899</v>
      </c>
      <c r="D207" s="1536"/>
      <c r="E207" s="1536"/>
      <c r="F207" s="1537"/>
      <c r="G207" s="632">
        <f>SUM(G155:G164)</f>
        <v>0</v>
      </c>
    </row>
    <row r="208" spans="2:7" ht="9.75" customHeight="1" thickBot="1">
      <c r="B208" s="633"/>
      <c r="C208" s="634"/>
      <c r="D208" s="635"/>
      <c r="E208" s="636"/>
      <c r="F208" s="637"/>
      <c r="G208" s="638"/>
    </row>
    <row r="209" ht="16" thickTop="1"/>
  </sheetData>
  <mergeCells count="10">
    <mergeCell ref="B2:G2"/>
    <mergeCell ref="B124:G124"/>
    <mergeCell ref="C147:F147"/>
    <mergeCell ref="C207:F207"/>
    <mergeCell ref="C121:F121"/>
    <mergeCell ref="B150:G150"/>
    <mergeCell ref="C40:F40"/>
    <mergeCell ref="B43:G43"/>
    <mergeCell ref="C82:F82"/>
    <mergeCell ref="B85:G85"/>
  </mergeCells>
  <printOptions horizontalCentered="1"/>
  <pageMargins left="0.75" right="0.5" top="1" bottom="0.75" header="0.5" footer="0.5"/>
  <pageSetup paperSize="9" scale="80" orientation="portrait" r:id="rId1"/>
  <headerFooter>
    <oddHeader>&amp;LWater and Sanitation Development Project (WSDP)&amp;RSecond Baricho - Kakuyuni Water Supply Project</oddHeader>
    <oddFooter>&amp;C&amp;A&amp;R&amp;P</oddFooter>
  </headerFooter>
  <rowBreaks count="4" manualBreakCount="4">
    <brk id="41" min="1" max="6" man="1"/>
    <brk id="83" min="1" max="6" man="1"/>
    <brk id="122" min="1" max="6" man="1"/>
    <brk id="148"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S366"/>
  <sheetViews>
    <sheetView view="pageBreakPreview" zoomScale="85" zoomScaleNormal="100" zoomScaleSheetLayoutView="85" workbookViewId="0">
      <selection activeCell="F49" sqref="F49"/>
    </sheetView>
  </sheetViews>
  <sheetFormatPr defaultColWidth="9.08984375" defaultRowHeight="12.75" customHeight="1"/>
  <cols>
    <col min="1" max="1" width="9.08984375" style="718" customWidth="1"/>
    <col min="2" max="2" width="48.54296875" style="716" customWidth="1"/>
    <col min="3" max="3" width="8.54296875" style="718" customWidth="1"/>
    <col min="4" max="4" width="11" style="856" customWidth="1"/>
    <col min="5" max="5" width="12.90625" style="857" bestFit="1" customWidth="1"/>
    <col min="6" max="6" width="15.6328125" style="858" bestFit="1" customWidth="1"/>
    <col min="7" max="7" width="12.90625" style="716" customWidth="1"/>
    <col min="8" max="8" width="10.6328125" style="716" bestFit="1" customWidth="1"/>
    <col min="9" max="9" width="11" style="716" bestFit="1" customWidth="1"/>
    <col min="10" max="10" width="11.90625" style="716" bestFit="1" customWidth="1"/>
    <col min="11" max="11" width="9.36328125" style="716" bestFit="1" customWidth="1"/>
    <col min="12" max="12" width="11.90625" style="716" bestFit="1" customWidth="1"/>
    <col min="13" max="13" width="9.36328125" style="716" bestFit="1" customWidth="1"/>
    <col min="14" max="14" width="13.54296875" style="716" bestFit="1" customWidth="1"/>
    <col min="15" max="15" width="9.36328125" style="716" bestFit="1" customWidth="1"/>
    <col min="16" max="16384" width="9.08984375" style="716"/>
  </cols>
  <sheetData>
    <row r="1" spans="1:7" ht="9.65" customHeight="1" thickTop="1">
      <c r="A1" s="711"/>
      <c r="B1" s="712"/>
      <c r="C1" s="712"/>
      <c r="D1" s="713"/>
      <c r="E1" s="712"/>
      <c r="F1" s="714"/>
      <c r="G1" s="715"/>
    </row>
    <row r="2" spans="1:7" ht="18.5">
      <c r="A2" s="1539" t="s">
        <v>1428</v>
      </c>
      <c r="B2" s="1540"/>
      <c r="C2" s="1540"/>
      <c r="D2" s="1540"/>
      <c r="E2" s="1540"/>
      <c r="F2" s="1541"/>
    </row>
    <row r="3" spans="1:7" ht="7.75" customHeight="1" thickBot="1">
      <c r="A3" s="717"/>
      <c r="D3" s="719"/>
      <c r="E3" s="720"/>
      <c r="F3" s="721"/>
    </row>
    <row r="4" spans="1:7" ht="32" thickTop="1" thickBot="1">
      <c r="A4" s="722" t="s">
        <v>4</v>
      </c>
      <c r="B4" s="723" t="s">
        <v>5</v>
      </c>
      <c r="C4" s="723" t="s">
        <v>6</v>
      </c>
      <c r="D4" s="724" t="s">
        <v>1</v>
      </c>
      <c r="E4" s="725" t="s">
        <v>7</v>
      </c>
      <c r="F4" s="726" t="s">
        <v>8</v>
      </c>
    </row>
    <row r="5" spans="1:7" ht="16" thickTop="1">
      <c r="A5" s="727"/>
      <c r="B5" s="728" t="s">
        <v>71</v>
      </c>
      <c r="C5" s="729"/>
      <c r="D5" s="730"/>
      <c r="E5" s="731"/>
      <c r="F5" s="732"/>
    </row>
    <row r="6" spans="1:7" ht="15.5">
      <c r="A6" s="733"/>
      <c r="B6" s="734" t="s">
        <v>249</v>
      </c>
      <c r="C6" s="735"/>
      <c r="D6" s="736"/>
      <c r="E6" s="737"/>
      <c r="F6" s="738"/>
    </row>
    <row r="7" spans="1:7" ht="9" customHeight="1">
      <c r="A7" s="739"/>
      <c r="B7" s="740"/>
      <c r="C7" s="735"/>
      <c r="D7" s="741"/>
      <c r="E7" s="737"/>
      <c r="F7" s="738"/>
    </row>
    <row r="8" spans="1:7" ht="15.5">
      <c r="A8" s="733" t="s">
        <v>1472</v>
      </c>
      <c r="B8" s="742" t="s">
        <v>262</v>
      </c>
      <c r="C8" s="735"/>
      <c r="D8" s="741"/>
      <c r="E8" s="737"/>
      <c r="F8" s="738"/>
    </row>
    <row r="9" spans="1:7" ht="9" customHeight="1">
      <c r="A9" s="739"/>
      <c r="B9" s="742"/>
      <c r="C9" s="735"/>
      <c r="D9" s="741"/>
      <c r="E9" s="737"/>
      <c r="F9" s="738"/>
    </row>
    <row r="10" spans="1:7" ht="77.5">
      <c r="A10" s="739"/>
      <c r="B10" s="740" t="s">
        <v>959</v>
      </c>
      <c r="C10" s="735"/>
      <c r="D10" s="741"/>
      <c r="E10" s="737"/>
      <c r="F10" s="738"/>
    </row>
    <row r="11" spans="1:7" ht="7.75" customHeight="1">
      <c r="A11" s="743"/>
      <c r="B11" s="744"/>
      <c r="C11" s="735"/>
      <c r="D11" s="741"/>
      <c r="E11" s="737"/>
      <c r="F11" s="738"/>
    </row>
    <row r="12" spans="1:7" ht="15.5">
      <c r="A12" s="739" t="s">
        <v>1471</v>
      </c>
      <c r="B12" s="740" t="s">
        <v>1313</v>
      </c>
      <c r="C12" s="735" t="s">
        <v>9</v>
      </c>
      <c r="D12" s="741">
        <v>29350</v>
      </c>
      <c r="E12" s="737"/>
      <c r="F12" s="738">
        <f>D12*E12</f>
        <v>0</v>
      </c>
    </row>
    <row r="13" spans="1:7" ht="7.75" customHeight="1">
      <c r="A13" s="739"/>
      <c r="B13" s="745"/>
      <c r="C13" s="746"/>
      <c r="D13" s="741"/>
      <c r="E13" s="737"/>
      <c r="F13" s="747"/>
    </row>
    <row r="14" spans="1:7" ht="108.5">
      <c r="A14" s="733"/>
      <c r="B14" s="748" t="s">
        <v>921</v>
      </c>
      <c r="C14" s="735"/>
      <c r="D14" s="736"/>
      <c r="E14" s="737"/>
      <c r="F14" s="738"/>
    </row>
    <row r="15" spans="1:7" ht="8.4" customHeight="1">
      <c r="A15" s="749"/>
      <c r="B15" s="750"/>
      <c r="C15" s="751"/>
      <c r="D15" s="752"/>
      <c r="E15" s="731"/>
      <c r="F15" s="732"/>
    </row>
    <row r="16" spans="1:7" ht="15.5">
      <c r="A16" s="739" t="s">
        <v>1470</v>
      </c>
      <c r="B16" s="740" t="s">
        <v>1314</v>
      </c>
      <c r="C16" s="735" t="s">
        <v>9</v>
      </c>
      <c r="D16" s="741">
        <f>D12</f>
        <v>29350</v>
      </c>
      <c r="E16" s="737"/>
      <c r="F16" s="738">
        <f>D16*E16</f>
        <v>0</v>
      </c>
    </row>
    <row r="17" spans="1:6" ht="9" customHeight="1">
      <c r="A17" s="749"/>
      <c r="B17" s="750"/>
      <c r="C17" s="751"/>
      <c r="D17" s="752"/>
      <c r="E17" s="731"/>
      <c r="F17" s="732"/>
    </row>
    <row r="18" spans="1:6" ht="15.5">
      <c r="A18" s="739"/>
      <c r="B18" s="753" t="s">
        <v>266</v>
      </c>
      <c r="C18" s="746"/>
      <c r="D18" s="736"/>
      <c r="E18" s="737"/>
      <c r="F18" s="747"/>
    </row>
    <row r="19" spans="1:6" ht="46.5">
      <c r="A19" s="739" t="s">
        <v>1469</v>
      </c>
      <c r="B19" s="754" t="s">
        <v>960</v>
      </c>
      <c r="C19" s="746" t="s">
        <v>37</v>
      </c>
      <c r="D19" s="736">
        <v>5.8</v>
      </c>
      <c r="E19" s="737"/>
      <c r="F19" s="747">
        <f>D19*E19</f>
        <v>0</v>
      </c>
    </row>
    <row r="20" spans="1:6" ht="7.75" customHeight="1">
      <c r="A20" s="739"/>
      <c r="B20" s="748"/>
      <c r="C20" s="746"/>
      <c r="D20" s="755"/>
      <c r="E20" s="756"/>
      <c r="F20" s="747"/>
    </row>
    <row r="21" spans="1:6" ht="15.5">
      <c r="A21" s="739" t="s">
        <v>1468</v>
      </c>
      <c r="B21" s="757" t="s">
        <v>270</v>
      </c>
      <c r="C21" s="746" t="s">
        <v>10</v>
      </c>
      <c r="D21" s="736">
        <v>100</v>
      </c>
      <c r="E21" s="737"/>
      <c r="F21" s="747">
        <f>D21*E21</f>
        <v>0</v>
      </c>
    </row>
    <row r="22" spans="1:6" ht="7.75" customHeight="1">
      <c r="A22" s="733"/>
      <c r="B22" s="734"/>
      <c r="C22" s="746"/>
      <c r="D22" s="736"/>
      <c r="E22" s="737"/>
      <c r="F22" s="747"/>
    </row>
    <row r="23" spans="1:6" ht="15.5">
      <c r="A23" s="739" t="s">
        <v>1467</v>
      </c>
      <c r="B23" s="757" t="s">
        <v>272</v>
      </c>
      <c r="C23" s="746" t="s">
        <v>10</v>
      </c>
      <c r="D23" s="736">
        <v>75</v>
      </c>
      <c r="E23" s="737"/>
      <c r="F23" s="747">
        <f>D23*E23</f>
        <v>0</v>
      </c>
    </row>
    <row r="24" spans="1:6" ht="8.4" customHeight="1">
      <c r="A24" s="739"/>
      <c r="B24" s="757"/>
      <c r="C24" s="746"/>
      <c r="D24" s="736"/>
      <c r="E24" s="737"/>
      <c r="F24" s="747"/>
    </row>
    <row r="25" spans="1:6" ht="15.5">
      <c r="A25" s="739" t="s">
        <v>1466</v>
      </c>
      <c r="B25" s="757" t="s">
        <v>274</v>
      </c>
      <c r="C25" s="746" t="s">
        <v>10</v>
      </c>
      <c r="D25" s="741">
        <v>25</v>
      </c>
      <c r="E25" s="756"/>
      <c r="F25" s="747">
        <f>D25*E25</f>
        <v>0</v>
      </c>
    </row>
    <row r="26" spans="1:6" ht="9" customHeight="1">
      <c r="A26" s="739"/>
      <c r="B26" s="757"/>
      <c r="C26" s="746"/>
      <c r="D26" s="736"/>
      <c r="E26" s="737"/>
      <c r="F26" s="747"/>
    </row>
    <row r="27" spans="1:6" ht="15.5">
      <c r="A27" s="758"/>
      <c r="B27" s="753" t="s">
        <v>24</v>
      </c>
      <c r="C27" s="746"/>
      <c r="D27" s="736"/>
      <c r="E27" s="737"/>
      <c r="F27" s="747"/>
    </row>
    <row r="28" spans="1:6" ht="69" customHeight="1">
      <c r="A28" s="739"/>
      <c r="B28" s="757" t="s">
        <v>961</v>
      </c>
      <c r="C28" s="746"/>
      <c r="D28" s="736"/>
      <c r="E28" s="737"/>
      <c r="F28" s="747"/>
    </row>
    <row r="29" spans="1:6" ht="9" customHeight="1">
      <c r="A29" s="739"/>
      <c r="B29" s="759"/>
      <c r="C29" s="746"/>
      <c r="D29" s="760"/>
      <c r="E29" s="737"/>
      <c r="F29" s="747"/>
    </row>
    <row r="30" spans="1:6" ht="15.5">
      <c r="A30" s="739"/>
      <c r="B30" s="759" t="s">
        <v>927</v>
      </c>
      <c r="C30" s="746"/>
      <c r="D30" s="760"/>
      <c r="E30" s="737"/>
      <c r="F30" s="747"/>
    </row>
    <row r="31" spans="1:6" ht="62">
      <c r="A31" s="739"/>
      <c r="B31" s="759" t="s">
        <v>1339</v>
      </c>
      <c r="C31" s="746"/>
      <c r="D31" s="760"/>
      <c r="E31" s="737"/>
      <c r="F31" s="747"/>
    </row>
    <row r="32" spans="1:6" ht="8.4" customHeight="1">
      <c r="A32" s="739"/>
      <c r="B32" s="757"/>
      <c r="C32" s="746"/>
      <c r="D32" s="760"/>
      <c r="E32" s="737"/>
      <c r="F32" s="747"/>
    </row>
    <row r="33" spans="1:42" ht="15.5">
      <c r="A33" s="761" t="s">
        <v>1465</v>
      </c>
      <c r="B33" s="762" t="s">
        <v>1315</v>
      </c>
      <c r="C33" s="746" t="s">
        <v>9</v>
      </c>
      <c r="D33" s="736">
        <f>D16</f>
        <v>29350</v>
      </c>
      <c r="E33" s="737"/>
      <c r="F33" s="747">
        <f>D33*E33</f>
        <v>0</v>
      </c>
    </row>
    <row r="34" spans="1:42" ht="8.4" customHeight="1">
      <c r="A34" s="763"/>
      <c r="B34" s="764"/>
      <c r="C34" s="746"/>
      <c r="D34" s="736"/>
      <c r="E34" s="737"/>
      <c r="F34" s="747"/>
    </row>
    <row r="35" spans="1:42" ht="94.75" customHeight="1">
      <c r="A35" s="763"/>
      <c r="B35" s="762" t="s">
        <v>1203</v>
      </c>
      <c r="C35" s="746"/>
      <c r="D35" s="741"/>
      <c r="E35" s="737"/>
      <c r="F35" s="747"/>
    </row>
    <row r="36" spans="1:42" s="771" customFormat="1" ht="32.4" customHeight="1">
      <c r="A36" s="739" t="s">
        <v>1464</v>
      </c>
      <c r="B36" s="757" t="s">
        <v>962</v>
      </c>
      <c r="C36" s="746" t="s">
        <v>9</v>
      </c>
      <c r="D36" s="760">
        <f>1468</f>
        <v>1468</v>
      </c>
      <c r="E36" s="737"/>
      <c r="F36" s="747">
        <f>D36*E36</f>
        <v>0</v>
      </c>
      <c r="G36" s="765"/>
      <c r="H36" s="765"/>
      <c r="I36" s="765"/>
      <c r="J36" s="765"/>
      <c r="K36" s="766"/>
      <c r="L36" s="766"/>
      <c r="M36" s="765"/>
      <c r="N36" s="765"/>
      <c r="O36" s="766"/>
      <c r="P36" s="766"/>
      <c r="Q36" s="765"/>
      <c r="R36" s="765"/>
      <c r="S36" s="766"/>
      <c r="T36" s="765"/>
      <c r="U36" s="765"/>
      <c r="V36" s="765"/>
      <c r="W36" s="766"/>
      <c r="X36" s="765"/>
      <c r="Y36" s="765"/>
      <c r="Z36" s="765"/>
      <c r="AA36" s="765"/>
      <c r="AB36" s="765"/>
      <c r="AC36" s="765"/>
      <c r="AD36" s="765"/>
      <c r="AE36" s="765"/>
      <c r="AF36" s="765"/>
      <c r="AG36" s="765"/>
      <c r="AH36" s="765"/>
      <c r="AI36" s="765"/>
      <c r="AJ36" s="765"/>
      <c r="AK36" s="765"/>
      <c r="AL36" s="767">
        <f>AK36*E36</f>
        <v>0</v>
      </c>
      <c r="AM36" s="768">
        <f t="shared" ref="AM36:AN38" si="0">AK36+AI36</f>
        <v>0</v>
      </c>
      <c r="AN36" s="769">
        <f t="shared" si="0"/>
        <v>0</v>
      </c>
      <c r="AO36" s="770"/>
      <c r="AP36" s="769">
        <f>AO36*E36</f>
        <v>0</v>
      </c>
    </row>
    <row r="37" spans="1:42" s="780" customFormat="1" ht="8.4" customHeight="1">
      <c r="A37" s="761"/>
      <c r="B37" s="762"/>
      <c r="C37" s="772"/>
      <c r="D37" s="773"/>
      <c r="E37" s="737"/>
      <c r="F37" s="747"/>
      <c r="G37" s="774"/>
      <c r="H37" s="774"/>
      <c r="I37" s="774"/>
      <c r="J37" s="774"/>
      <c r="K37" s="775"/>
      <c r="L37" s="775"/>
      <c r="M37" s="774"/>
      <c r="N37" s="774"/>
      <c r="O37" s="775"/>
      <c r="P37" s="775"/>
      <c r="Q37" s="774"/>
      <c r="R37" s="774"/>
      <c r="S37" s="775"/>
      <c r="T37" s="774"/>
      <c r="U37" s="774"/>
      <c r="V37" s="774"/>
      <c r="W37" s="775"/>
      <c r="X37" s="774"/>
      <c r="Y37" s="774"/>
      <c r="Z37" s="774"/>
      <c r="AA37" s="774"/>
      <c r="AB37" s="774"/>
      <c r="AC37" s="774"/>
      <c r="AD37" s="774"/>
      <c r="AE37" s="774"/>
      <c r="AF37" s="774"/>
      <c r="AG37" s="774"/>
      <c r="AH37" s="774"/>
      <c r="AI37" s="774"/>
      <c r="AJ37" s="774"/>
      <c r="AK37" s="774"/>
      <c r="AL37" s="776">
        <f>AK37*E37</f>
        <v>0</v>
      </c>
      <c r="AM37" s="777">
        <f t="shared" si="0"/>
        <v>0</v>
      </c>
      <c r="AN37" s="778">
        <f t="shared" si="0"/>
        <v>0</v>
      </c>
      <c r="AO37" s="779"/>
      <c r="AP37" s="778">
        <f>AO37*E37</f>
        <v>0</v>
      </c>
    </row>
    <row r="38" spans="1:42" s="780" customFormat="1" ht="16" thickBot="1">
      <c r="A38" s="739" t="s">
        <v>1463</v>
      </c>
      <c r="B38" s="757" t="s">
        <v>1320</v>
      </c>
      <c r="C38" s="746" t="s">
        <v>9</v>
      </c>
      <c r="D38" s="736">
        <f>80%*D33</f>
        <v>23480</v>
      </c>
      <c r="E38" s="737"/>
      <c r="F38" s="747">
        <f>D38*E38</f>
        <v>0</v>
      </c>
      <c r="G38" s="774"/>
      <c r="H38" s="774"/>
      <c r="I38" s="774"/>
      <c r="J38" s="774"/>
      <c r="K38" s="775"/>
      <c r="L38" s="775"/>
      <c r="M38" s="774"/>
      <c r="N38" s="774"/>
      <c r="O38" s="775"/>
      <c r="P38" s="775"/>
      <c r="Q38" s="774"/>
      <c r="R38" s="774"/>
      <c r="S38" s="775"/>
      <c r="T38" s="774"/>
      <c r="U38" s="774"/>
      <c r="V38" s="774"/>
      <c r="W38" s="775"/>
      <c r="X38" s="774"/>
      <c r="Y38" s="774"/>
      <c r="Z38" s="774"/>
      <c r="AA38" s="774"/>
      <c r="AB38" s="774"/>
      <c r="AC38" s="774"/>
      <c r="AD38" s="774"/>
      <c r="AE38" s="774"/>
      <c r="AF38" s="774"/>
      <c r="AG38" s="774"/>
      <c r="AH38" s="774"/>
      <c r="AI38" s="774"/>
      <c r="AJ38" s="774"/>
      <c r="AK38" s="774"/>
      <c r="AL38" s="776">
        <f>AK38*E38</f>
        <v>0</v>
      </c>
      <c r="AM38" s="777">
        <f t="shared" si="0"/>
        <v>0</v>
      </c>
      <c r="AN38" s="778">
        <f t="shared" si="0"/>
        <v>0</v>
      </c>
      <c r="AO38" s="779"/>
      <c r="AP38" s="778">
        <f>AO38*E38</f>
        <v>0</v>
      </c>
    </row>
    <row r="39" spans="1:42" s="786" customFormat="1" ht="6" customHeight="1" thickTop="1">
      <c r="A39" s="781"/>
      <c r="B39" s="782"/>
      <c r="C39" s="783"/>
      <c r="D39" s="784"/>
      <c r="E39" s="785"/>
      <c r="F39" s="851"/>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c r="AI39" s="716"/>
      <c r="AJ39" s="716"/>
      <c r="AK39" s="716"/>
    </row>
    <row r="40" spans="1:42" s="786" customFormat="1" ht="15.5">
      <c r="A40" s="787"/>
      <c r="B40" s="788" t="s">
        <v>301</v>
      </c>
      <c r="C40" s="789"/>
      <c r="D40" s="790"/>
      <c r="E40" s="791"/>
      <c r="F40" s="852"/>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row>
    <row r="41" spans="1:42" s="786" customFormat="1" ht="8.4" customHeight="1" thickBot="1">
      <c r="A41" s="792"/>
      <c r="B41" s="793"/>
      <c r="C41" s="794"/>
      <c r="D41" s="795"/>
      <c r="E41" s="796"/>
      <c r="F41" s="853"/>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716"/>
      <c r="AK41" s="716"/>
    </row>
    <row r="42" spans="1:42" s="780" customFormat="1" ht="12.75" customHeight="1" thickTop="1">
      <c r="A42" s="797"/>
      <c r="B42" s="798"/>
      <c r="C42" s="799"/>
      <c r="D42" s="800"/>
      <c r="E42" s="801"/>
      <c r="F42" s="874"/>
      <c r="G42" s="774"/>
      <c r="H42" s="774"/>
      <c r="I42" s="774"/>
      <c r="J42" s="774"/>
      <c r="K42" s="775"/>
      <c r="L42" s="775"/>
      <c r="M42" s="774"/>
      <c r="N42" s="774"/>
      <c r="O42" s="775"/>
      <c r="P42" s="775"/>
      <c r="Q42" s="774"/>
      <c r="R42" s="774"/>
      <c r="S42" s="775"/>
      <c r="T42" s="774"/>
      <c r="U42" s="774"/>
      <c r="V42" s="774"/>
      <c r="W42" s="775"/>
      <c r="X42" s="774"/>
      <c r="Y42" s="774"/>
      <c r="Z42" s="774"/>
      <c r="AA42" s="774"/>
      <c r="AB42" s="774"/>
      <c r="AC42" s="774"/>
      <c r="AD42" s="774"/>
      <c r="AE42" s="774"/>
      <c r="AF42" s="774"/>
      <c r="AG42" s="774"/>
      <c r="AH42" s="774"/>
      <c r="AI42" s="774"/>
      <c r="AJ42" s="774"/>
      <c r="AK42" s="774"/>
      <c r="AL42" s="776">
        <f>AK42*E42</f>
        <v>0</v>
      </c>
      <c r="AM42" s="777">
        <f>AK42+AI42</f>
        <v>0</v>
      </c>
      <c r="AN42" s="778">
        <f>AL42+AJ42</f>
        <v>0</v>
      </c>
      <c r="AO42" s="779"/>
      <c r="AP42" s="778">
        <f>AO42*E42</f>
        <v>0</v>
      </c>
    </row>
    <row r="43" spans="1:42" s="780" customFormat="1" ht="15.5">
      <c r="A43" s="739" t="s">
        <v>1462</v>
      </c>
      <c r="B43" s="757" t="s">
        <v>1321</v>
      </c>
      <c r="C43" s="746" t="s">
        <v>9</v>
      </c>
      <c r="D43" s="736">
        <f>4403</f>
        <v>4403</v>
      </c>
      <c r="E43" s="737"/>
      <c r="F43" s="747">
        <f>D43*E43</f>
        <v>0</v>
      </c>
      <c r="G43" s="774"/>
      <c r="H43" s="774"/>
      <c r="I43" s="774"/>
      <c r="J43" s="774"/>
      <c r="K43" s="775"/>
      <c r="L43" s="775"/>
      <c r="M43" s="774"/>
      <c r="N43" s="774"/>
      <c r="O43" s="775"/>
      <c r="P43" s="775"/>
      <c r="Q43" s="774"/>
      <c r="R43" s="774"/>
      <c r="S43" s="775"/>
      <c r="T43" s="774"/>
      <c r="U43" s="774"/>
      <c r="V43" s="774"/>
      <c r="W43" s="775"/>
      <c r="X43" s="774"/>
      <c r="Y43" s="774"/>
      <c r="Z43" s="774"/>
      <c r="AA43" s="774"/>
      <c r="AB43" s="774"/>
      <c r="AC43" s="774"/>
      <c r="AD43" s="774"/>
      <c r="AE43" s="774"/>
      <c r="AF43" s="774"/>
      <c r="AG43" s="774"/>
      <c r="AH43" s="774"/>
      <c r="AI43" s="774"/>
      <c r="AJ43" s="774"/>
      <c r="AK43" s="774"/>
      <c r="AL43" s="776">
        <f>AK43*E43</f>
        <v>0</v>
      </c>
      <c r="AM43" s="777">
        <f>AK43+AI43</f>
        <v>0</v>
      </c>
      <c r="AN43" s="778">
        <f>AL43+AJ43</f>
        <v>0</v>
      </c>
      <c r="AO43" s="779"/>
      <c r="AP43" s="778">
        <f>AO43*E43</f>
        <v>0</v>
      </c>
    </row>
    <row r="44" spans="1:42" s="780" customFormat="1" ht="12.75" customHeight="1">
      <c r="A44" s="739"/>
      <c r="B44" s="757"/>
      <c r="C44" s="746"/>
      <c r="D44" s="736"/>
      <c r="E44" s="737"/>
      <c r="F44" s="747"/>
      <c r="G44" s="774"/>
      <c r="H44" s="774"/>
      <c r="I44" s="774"/>
      <c r="J44" s="774"/>
      <c r="K44" s="775"/>
      <c r="L44" s="775"/>
      <c r="M44" s="774"/>
      <c r="N44" s="774"/>
      <c r="O44" s="775"/>
      <c r="P44" s="775"/>
      <c r="Q44" s="774"/>
      <c r="R44" s="774"/>
      <c r="S44" s="775"/>
      <c r="T44" s="774"/>
      <c r="U44" s="774"/>
      <c r="V44" s="774"/>
      <c r="W44" s="775"/>
      <c r="X44" s="774"/>
      <c r="Y44" s="774"/>
      <c r="Z44" s="774"/>
      <c r="AA44" s="774"/>
      <c r="AB44" s="774"/>
      <c r="AC44" s="774"/>
      <c r="AD44" s="774"/>
      <c r="AE44" s="774"/>
      <c r="AF44" s="774"/>
      <c r="AG44" s="774"/>
      <c r="AH44" s="774"/>
      <c r="AI44" s="774"/>
      <c r="AJ44" s="774"/>
      <c r="AK44" s="774"/>
      <c r="AL44" s="776"/>
      <c r="AM44" s="777"/>
      <c r="AN44" s="778"/>
      <c r="AO44" s="779"/>
      <c r="AP44" s="778"/>
    </row>
    <row r="45" spans="1:42" s="780" customFormat="1" ht="31">
      <c r="A45" s="739" t="s">
        <v>1461</v>
      </c>
      <c r="B45" s="802" t="s">
        <v>1204</v>
      </c>
      <c r="C45" s="746"/>
      <c r="D45" s="736"/>
      <c r="E45" s="737"/>
      <c r="F45" s="747"/>
      <c r="G45" s="774"/>
      <c r="H45" s="774"/>
      <c r="I45" s="774"/>
      <c r="J45" s="774"/>
      <c r="K45" s="775"/>
      <c r="L45" s="775"/>
      <c r="M45" s="774"/>
      <c r="N45" s="774"/>
      <c r="O45" s="775"/>
      <c r="P45" s="775"/>
      <c r="Q45" s="774"/>
      <c r="R45" s="774"/>
      <c r="S45" s="775"/>
      <c r="T45" s="774"/>
      <c r="U45" s="774"/>
      <c r="V45" s="774"/>
      <c r="W45" s="775"/>
      <c r="X45" s="774"/>
      <c r="Y45" s="774"/>
      <c r="Z45" s="774"/>
      <c r="AA45" s="774"/>
      <c r="AB45" s="774"/>
      <c r="AC45" s="774"/>
      <c r="AD45" s="774"/>
      <c r="AE45" s="774"/>
      <c r="AF45" s="774"/>
      <c r="AG45" s="774"/>
      <c r="AH45" s="774"/>
      <c r="AI45" s="774"/>
      <c r="AJ45" s="774"/>
      <c r="AK45" s="774"/>
      <c r="AL45" s="776"/>
      <c r="AM45" s="777"/>
      <c r="AN45" s="778"/>
      <c r="AO45" s="779"/>
      <c r="AP45" s="778"/>
    </row>
    <row r="46" spans="1:42" s="780" customFormat="1" ht="15.5">
      <c r="A46" s="739"/>
      <c r="B46" s="757"/>
      <c r="C46" s="746"/>
      <c r="D46" s="736"/>
      <c r="E46" s="737"/>
      <c r="F46" s="747"/>
      <c r="G46" s="774"/>
      <c r="H46" s="774"/>
      <c r="I46" s="774"/>
      <c r="J46" s="774"/>
      <c r="K46" s="775"/>
      <c r="L46" s="775"/>
      <c r="M46" s="774"/>
      <c r="N46" s="774"/>
      <c r="O46" s="775"/>
      <c r="P46" s="775"/>
      <c r="Q46" s="774"/>
      <c r="R46" s="774"/>
      <c r="S46" s="775"/>
      <c r="T46" s="774"/>
      <c r="U46" s="774"/>
      <c r="V46" s="774"/>
      <c r="W46" s="775"/>
      <c r="X46" s="774"/>
      <c r="Y46" s="774"/>
      <c r="Z46" s="774"/>
      <c r="AA46" s="774"/>
      <c r="AB46" s="774"/>
      <c r="AC46" s="774"/>
      <c r="AD46" s="774"/>
      <c r="AE46" s="774"/>
      <c r="AF46" s="774"/>
      <c r="AG46" s="774"/>
      <c r="AH46" s="774"/>
      <c r="AI46" s="774"/>
      <c r="AJ46" s="774"/>
      <c r="AK46" s="774"/>
      <c r="AL46" s="776"/>
      <c r="AM46" s="777"/>
      <c r="AN46" s="778"/>
      <c r="AO46" s="779"/>
      <c r="AP46" s="778"/>
    </row>
    <row r="47" spans="1:42" s="780" customFormat="1" ht="15.5">
      <c r="A47" s="739">
        <v>1444.1</v>
      </c>
      <c r="B47" s="757" t="s">
        <v>1322</v>
      </c>
      <c r="C47" s="746" t="s">
        <v>9</v>
      </c>
      <c r="D47" s="736">
        <v>35</v>
      </c>
      <c r="E47" s="737"/>
      <c r="F47" s="747">
        <f>D47*E47</f>
        <v>0</v>
      </c>
      <c r="G47" s="774"/>
      <c r="H47" s="774"/>
      <c r="I47" s="774"/>
      <c r="J47" s="774"/>
      <c r="K47" s="775"/>
      <c r="L47" s="775"/>
      <c r="M47" s="774"/>
      <c r="N47" s="774"/>
      <c r="O47" s="775"/>
      <c r="P47" s="775"/>
      <c r="Q47" s="774"/>
      <c r="R47" s="774"/>
      <c r="S47" s="775"/>
      <c r="T47" s="774"/>
      <c r="U47" s="774"/>
      <c r="V47" s="774"/>
      <c r="W47" s="775"/>
      <c r="X47" s="774"/>
      <c r="Y47" s="774"/>
      <c r="Z47" s="774"/>
      <c r="AA47" s="774"/>
      <c r="AB47" s="774"/>
      <c r="AC47" s="774"/>
      <c r="AD47" s="774"/>
      <c r="AE47" s="774"/>
      <c r="AF47" s="774"/>
      <c r="AG47" s="774"/>
      <c r="AH47" s="774"/>
      <c r="AI47" s="774"/>
      <c r="AJ47" s="774"/>
      <c r="AK47" s="774"/>
      <c r="AL47" s="776"/>
      <c r="AM47" s="777"/>
      <c r="AN47" s="778"/>
      <c r="AO47" s="779"/>
      <c r="AP47" s="778"/>
    </row>
    <row r="48" spans="1:42" s="780" customFormat="1" ht="12.75" customHeight="1">
      <c r="A48" s="739"/>
      <c r="B48" s="757"/>
      <c r="C48" s="746"/>
      <c r="D48" s="736"/>
      <c r="E48" s="737"/>
      <c r="F48" s="747"/>
      <c r="G48" s="774"/>
      <c r="H48" s="774"/>
      <c r="I48" s="774"/>
      <c r="J48" s="774"/>
      <c r="K48" s="775"/>
      <c r="L48" s="775"/>
      <c r="M48" s="774"/>
      <c r="N48" s="774"/>
      <c r="O48" s="775"/>
      <c r="P48" s="775"/>
      <c r="Q48" s="774"/>
      <c r="R48" s="774"/>
      <c r="S48" s="775"/>
      <c r="T48" s="774"/>
      <c r="U48" s="774"/>
      <c r="V48" s="774"/>
      <c r="W48" s="775"/>
      <c r="X48" s="774"/>
      <c r="Y48" s="774"/>
      <c r="Z48" s="774"/>
      <c r="AA48" s="774"/>
      <c r="AB48" s="774"/>
      <c r="AC48" s="774"/>
      <c r="AD48" s="774"/>
      <c r="AE48" s="774"/>
      <c r="AF48" s="774"/>
      <c r="AG48" s="774"/>
      <c r="AH48" s="774"/>
      <c r="AI48" s="774"/>
      <c r="AJ48" s="774"/>
      <c r="AK48" s="774"/>
      <c r="AL48" s="776"/>
      <c r="AM48" s="777"/>
      <c r="AN48" s="778"/>
      <c r="AO48" s="779"/>
      <c r="AP48" s="778"/>
    </row>
    <row r="49" spans="1:42" s="780" customFormat="1" ht="15.5">
      <c r="A49" s="733" t="s">
        <v>1460</v>
      </c>
      <c r="B49" s="802" t="s">
        <v>1206</v>
      </c>
      <c r="C49" s="746"/>
      <c r="D49" s="736"/>
      <c r="E49" s="737"/>
      <c r="F49" s="747"/>
      <c r="G49" s="774"/>
      <c r="H49" s="774"/>
      <c r="I49" s="774"/>
      <c r="J49" s="774"/>
      <c r="K49" s="775"/>
      <c r="L49" s="775"/>
      <c r="M49" s="774"/>
      <c r="N49" s="774"/>
      <c r="O49" s="775"/>
      <c r="P49" s="775"/>
      <c r="Q49" s="774"/>
      <c r="R49" s="774"/>
      <c r="S49" s="775"/>
      <c r="T49" s="774"/>
      <c r="U49" s="774"/>
      <c r="V49" s="774"/>
      <c r="W49" s="775"/>
      <c r="X49" s="774"/>
      <c r="Y49" s="774"/>
      <c r="Z49" s="774"/>
      <c r="AA49" s="774"/>
      <c r="AB49" s="774"/>
      <c r="AC49" s="774"/>
      <c r="AD49" s="774"/>
      <c r="AE49" s="774"/>
      <c r="AF49" s="774"/>
      <c r="AG49" s="774"/>
      <c r="AH49" s="774"/>
      <c r="AI49" s="774"/>
      <c r="AJ49" s="774"/>
      <c r="AK49" s="774"/>
      <c r="AL49" s="776"/>
      <c r="AM49" s="777"/>
      <c r="AN49" s="778"/>
      <c r="AO49" s="779"/>
      <c r="AP49" s="778"/>
    </row>
    <row r="50" spans="1:42" s="780" customFormat="1" ht="12.75" customHeight="1">
      <c r="A50" s="739"/>
      <c r="B50" s="757"/>
      <c r="C50" s="746"/>
      <c r="D50" s="736"/>
      <c r="E50" s="737"/>
      <c r="F50" s="747"/>
      <c r="G50" s="774"/>
      <c r="H50" s="774"/>
      <c r="I50" s="774"/>
      <c r="J50" s="774"/>
      <c r="K50" s="775"/>
      <c r="L50" s="775"/>
      <c r="M50" s="774"/>
      <c r="N50" s="774"/>
      <c r="O50" s="775"/>
      <c r="P50" s="775"/>
      <c r="Q50" s="774"/>
      <c r="R50" s="774"/>
      <c r="S50" s="775"/>
      <c r="T50" s="774"/>
      <c r="U50" s="774"/>
      <c r="V50" s="774"/>
      <c r="W50" s="775"/>
      <c r="X50" s="774"/>
      <c r="Y50" s="774"/>
      <c r="Z50" s="774"/>
      <c r="AA50" s="774"/>
      <c r="AB50" s="774"/>
      <c r="AC50" s="774"/>
      <c r="AD50" s="774"/>
      <c r="AE50" s="774"/>
      <c r="AF50" s="774"/>
      <c r="AG50" s="774"/>
      <c r="AH50" s="774"/>
      <c r="AI50" s="774"/>
      <c r="AJ50" s="774"/>
      <c r="AK50" s="774"/>
      <c r="AL50" s="776"/>
      <c r="AM50" s="777"/>
      <c r="AN50" s="778"/>
      <c r="AO50" s="779"/>
      <c r="AP50" s="778"/>
    </row>
    <row r="51" spans="1:42" s="780" customFormat="1" ht="37.25" customHeight="1">
      <c r="A51" s="803"/>
      <c r="B51" s="757" t="s">
        <v>1207</v>
      </c>
      <c r="C51" s="746"/>
      <c r="D51" s="736"/>
      <c r="E51" s="737"/>
      <c r="F51" s="747"/>
      <c r="G51" s="774"/>
      <c r="H51" s="774"/>
      <c r="I51" s="774"/>
      <c r="J51" s="774"/>
      <c r="K51" s="775"/>
      <c r="L51" s="775"/>
      <c r="M51" s="774"/>
      <c r="N51" s="774"/>
      <c r="O51" s="775"/>
      <c r="P51" s="775"/>
      <c r="Q51" s="774"/>
      <c r="R51" s="774"/>
      <c r="S51" s="775"/>
      <c r="T51" s="774"/>
      <c r="U51" s="774"/>
      <c r="V51" s="774"/>
      <c r="W51" s="775"/>
      <c r="X51" s="774"/>
      <c r="Y51" s="774"/>
      <c r="Z51" s="774"/>
      <c r="AA51" s="774"/>
      <c r="AB51" s="774"/>
      <c r="AC51" s="774"/>
      <c r="AD51" s="774"/>
      <c r="AE51" s="774"/>
      <c r="AF51" s="774"/>
      <c r="AG51" s="774"/>
      <c r="AH51" s="774"/>
      <c r="AI51" s="774"/>
      <c r="AJ51" s="774"/>
      <c r="AK51" s="774"/>
      <c r="AL51" s="776"/>
      <c r="AM51" s="777"/>
      <c r="AN51" s="778"/>
      <c r="AO51" s="779"/>
      <c r="AP51" s="778"/>
    </row>
    <row r="52" spans="1:42" s="780" customFormat="1" ht="15.5">
      <c r="A52" s="739"/>
      <c r="B52" s="757"/>
      <c r="C52" s="746"/>
      <c r="D52" s="736"/>
      <c r="E52" s="737"/>
      <c r="F52" s="747"/>
      <c r="G52" s="774"/>
      <c r="H52" s="774"/>
      <c r="I52" s="774"/>
      <c r="J52" s="774"/>
      <c r="K52" s="775"/>
      <c r="L52" s="775"/>
      <c r="M52" s="774"/>
      <c r="N52" s="774"/>
      <c r="O52" s="775"/>
      <c r="P52" s="775"/>
      <c r="Q52" s="774"/>
      <c r="R52" s="774"/>
      <c r="S52" s="775"/>
      <c r="T52" s="774"/>
      <c r="U52" s="774"/>
      <c r="V52" s="774"/>
      <c r="W52" s="775"/>
      <c r="X52" s="774"/>
      <c r="Y52" s="774"/>
      <c r="Z52" s="774"/>
      <c r="AA52" s="774"/>
      <c r="AB52" s="774"/>
      <c r="AC52" s="774"/>
      <c r="AD52" s="774"/>
      <c r="AE52" s="774"/>
      <c r="AF52" s="774"/>
      <c r="AG52" s="774"/>
      <c r="AH52" s="774"/>
      <c r="AI52" s="774"/>
      <c r="AJ52" s="774"/>
      <c r="AK52" s="774"/>
      <c r="AL52" s="776"/>
      <c r="AM52" s="777"/>
      <c r="AN52" s="778"/>
      <c r="AO52" s="779"/>
      <c r="AP52" s="778"/>
    </row>
    <row r="53" spans="1:42" s="780" customFormat="1" ht="15.5">
      <c r="A53" s="739" t="s">
        <v>1459</v>
      </c>
      <c r="B53" s="757" t="s">
        <v>1205</v>
      </c>
      <c r="C53" s="746" t="s">
        <v>9</v>
      </c>
      <c r="D53" s="736">
        <v>60</v>
      </c>
      <c r="E53" s="737"/>
      <c r="F53" s="747">
        <f>D53*E53</f>
        <v>0</v>
      </c>
      <c r="G53" s="774"/>
      <c r="H53" s="774"/>
      <c r="I53" s="774"/>
      <c r="J53" s="774"/>
      <c r="K53" s="775"/>
      <c r="L53" s="775"/>
      <c r="M53" s="774"/>
      <c r="N53" s="774"/>
      <c r="O53" s="775"/>
      <c r="P53" s="775"/>
      <c r="Q53" s="774"/>
      <c r="R53" s="774"/>
      <c r="S53" s="775"/>
      <c r="T53" s="774"/>
      <c r="U53" s="774"/>
      <c r="V53" s="774"/>
      <c r="W53" s="775"/>
      <c r="X53" s="774"/>
      <c r="Y53" s="774"/>
      <c r="Z53" s="774"/>
      <c r="AA53" s="774"/>
      <c r="AB53" s="774"/>
      <c r="AC53" s="774"/>
      <c r="AD53" s="774"/>
      <c r="AE53" s="774"/>
      <c r="AF53" s="774"/>
      <c r="AG53" s="774"/>
      <c r="AH53" s="774"/>
      <c r="AI53" s="774"/>
      <c r="AJ53" s="774"/>
      <c r="AK53" s="774"/>
      <c r="AL53" s="776"/>
      <c r="AM53" s="777"/>
      <c r="AN53" s="778"/>
      <c r="AO53" s="779"/>
      <c r="AP53" s="778"/>
    </row>
    <row r="54" spans="1:42" s="780" customFormat="1" ht="15.5">
      <c r="A54" s="739"/>
      <c r="B54" s="757"/>
      <c r="C54" s="746"/>
      <c r="D54" s="736"/>
      <c r="E54" s="737"/>
      <c r="F54" s="747"/>
      <c r="G54" s="774"/>
      <c r="H54" s="774"/>
      <c r="I54" s="774"/>
      <c r="J54" s="774"/>
      <c r="K54" s="775"/>
      <c r="L54" s="775"/>
      <c r="M54" s="774"/>
      <c r="N54" s="774"/>
      <c r="O54" s="775"/>
      <c r="P54" s="775"/>
      <c r="Q54" s="774"/>
      <c r="R54" s="774"/>
      <c r="S54" s="775"/>
      <c r="T54" s="774"/>
      <c r="U54" s="774"/>
      <c r="V54" s="774"/>
      <c r="W54" s="775"/>
      <c r="X54" s="774"/>
      <c r="Y54" s="774"/>
      <c r="Z54" s="774"/>
      <c r="AA54" s="774"/>
      <c r="AB54" s="774"/>
      <c r="AC54" s="774"/>
      <c r="AD54" s="774"/>
      <c r="AE54" s="774"/>
      <c r="AF54" s="774"/>
      <c r="AG54" s="774"/>
      <c r="AH54" s="774"/>
      <c r="AI54" s="774"/>
      <c r="AJ54" s="774"/>
      <c r="AK54" s="774"/>
      <c r="AL54" s="776"/>
      <c r="AM54" s="777"/>
      <c r="AN54" s="778"/>
      <c r="AO54" s="779"/>
      <c r="AP54" s="778"/>
    </row>
    <row r="55" spans="1:42" s="780" customFormat="1" ht="15.5">
      <c r="A55" s="739" t="s">
        <v>1458</v>
      </c>
      <c r="B55" s="757" t="s">
        <v>1208</v>
      </c>
      <c r="C55" s="746" t="s">
        <v>9</v>
      </c>
      <c r="D55" s="736">
        <v>60</v>
      </c>
      <c r="E55" s="737"/>
      <c r="F55" s="747">
        <f>D55*E55</f>
        <v>0</v>
      </c>
      <c r="G55" s="774"/>
      <c r="H55" s="774"/>
      <c r="I55" s="774"/>
      <c r="J55" s="774"/>
      <c r="K55" s="775"/>
      <c r="L55" s="775"/>
      <c r="M55" s="774"/>
      <c r="N55" s="774"/>
      <c r="O55" s="775"/>
      <c r="P55" s="775"/>
      <c r="Q55" s="774"/>
      <c r="R55" s="774"/>
      <c r="S55" s="775"/>
      <c r="T55" s="774"/>
      <c r="U55" s="774"/>
      <c r="V55" s="774"/>
      <c r="W55" s="775"/>
      <c r="X55" s="774"/>
      <c r="Y55" s="774"/>
      <c r="Z55" s="774"/>
      <c r="AA55" s="774"/>
      <c r="AB55" s="774"/>
      <c r="AC55" s="774"/>
      <c r="AD55" s="774"/>
      <c r="AE55" s="774"/>
      <c r="AF55" s="774"/>
      <c r="AG55" s="774"/>
      <c r="AH55" s="774"/>
      <c r="AI55" s="774"/>
      <c r="AJ55" s="774"/>
      <c r="AK55" s="774"/>
      <c r="AL55" s="776"/>
      <c r="AM55" s="777"/>
      <c r="AN55" s="778"/>
      <c r="AO55" s="779"/>
      <c r="AP55" s="778"/>
    </row>
    <row r="56" spans="1:42" s="780" customFormat="1" ht="12.75" customHeight="1">
      <c r="A56" s="739"/>
      <c r="B56" s="757"/>
      <c r="C56" s="746"/>
      <c r="D56" s="736"/>
      <c r="E56" s="737"/>
      <c r="F56" s="747"/>
      <c r="G56" s="774"/>
      <c r="H56" s="774"/>
      <c r="I56" s="774"/>
      <c r="J56" s="774"/>
      <c r="K56" s="775"/>
      <c r="L56" s="775"/>
      <c r="M56" s="774"/>
      <c r="N56" s="774"/>
      <c r="O56" s="775"/>
      <c r="P56" s="775"/>
      <c r="Q56" s="774"/>
      <c r="R56" s="774"/>
      <c r="S56" s="775"/>
      <c r="T56" s="774"/>
      <c r="U56" s="774"/>
      <c r="V56" s="774"/>
      <c r="W56" s="775"/>
      <c r="X56" s="774"/>
      <c r="Y56" s="774"/>
      <c r="Z56" s="774"/>
      <c r="AA56" s="774"/>
      <c r="AB56" s="774"/>
      <c r="AC56" s="774"/>
      <c r="AD56" s="774"/>
      <c r="AE56" s="774"/>
      <c r="AF56" s="774"/>
      <c r="AG56" s="774"/>
      <c r="AH56" s="774"/>
      <c r="AI56" s="774"/>
      <c r="AJ56" s="774"/>
      <c r="AK56" s="774"/>
      <c r="AL56" s="776">
        <f>AK56*E56</f>
        <v>0</v>
      </c>
      <c r="AM56" s="777">
        <f>AK56+AI56</f>
        <v>0</v>
      </c>
      <c r="AN56" s="778">
        <f>AL56+AJ56</f>
        <v>0</v>
      </c>
      <c r="AO56" s="779"/>
      <c r="AP56" s="778">
        <f>AO56*E56</f>
        <v>0</v>
      </c>
    </row>
    <row r="57" spans="1:42" ht="15.5">
      <c r="A57" s="739"/>
      <c r="B57" s="759" t="s">
        <v>25</v>
      </c>
      <c r="C57" s="746"/>
      <c r="D57" s="760"/>
      <c r="E57" s="737"/>
      <c r="F57" s="747"/>
    </row>
    <row r="58" spans="1:42" ht="12.75" customHeight="1">
      <c r="A58" s="739"/>
      <c r="B58" s="759"/>
      <c r="C58" s="746"/>
      <c r="D58" s="760"/>
      <c r="E58" s="737"/>
      <c r="F58" s="747"/>
    </row>
    <row r="59" spans="1:42" ht="77.5">
      <c r="A59" s="739"/>
      <c r="B59" s="759" t="s">
        <v>963</v>
      </c>
      <c r="C59" s="746"/>
      <c r="D59" s="760"/>
      <c r="E59" s="737"/>
      <c r="F59" s="747"/>
    </row>
    <row r="60" spans="1:42" ht="12.75" customHeight="1">
      <c r="A60" s="739"/>
      <c r="B60" s="757"/>
      <c r="C60" s="746"/>
      <c r="D60" s="760"/>
      <c r="E60" s="737"/>
      <c r="F60" s="747"/>
    </row>
    <row r="61" spans="1:42" ht="46.5">
      <c r="A61" s="763"/>
      <c r="B61" s="764" t="s">
        <v>1399</v>
      </c>
      <c r="C61" s="746"/>
      <c r="D61" s="736"/>
      <c r="E61" s="737"/>
      <c r="F61" s="747"/>
    </row>
    <row r="62" spans="1:42" ht="31">
      <c r="A62" s="763"/>
      <c r="B62" s="764" t="s">
        <v>1234</v>
      </c>
      <c r="C62" s="746"/>
      <c r="D62" s="736"/>
      <c r="E62" s="737"/>
      <c r="F62" s="747"/>
    </row>
    <row r="63" spans="1:42" s="780" customFormat="1" ht="12.75" customHeight="1">
      <c r="A63" s="763"/>
      <c r="B63" s="764" t="s">
        <v>1347</v>
      </c>
      <c r="C63" s="746"/>
      <c r="D63" s="741"/>
      <c r="E63" s="737"/>
      <c r="F63" s="747"/>
      <c r="G63" s="775"/>
      <c r="H63" s="775"/>
      <c r="I63" s="775"/>
      <c r="J63" s="775"/>
      <c r="K63" s="775"/>
      <c r="L63" s="775"/>
      <c r="M63" s="775"/>
      <c r="N63" s="775"/>
      <c r="O63" s="775"/>
      <c r="P63" s="775"/>
      <c r="Q63" s="775"/>
      <c r="R63" s="775"/>
      <c r="S63" s="775"/>
      <c r="T63" s="774"/>
      <c r="U63" s="775"/>
      <c r="V63" s="775"/>
      <c r="W63" s="775"/>
      <c r="X63" s="774"/>
      <c r="Y63" s="775"/>
      <c r="Z63" s="775"/>
      <c r="AA63" s="774"/>
      <c r="AB63" s="774"/>
      <c r="AC63" s="775"/>
      <c r="AD63" s="774"/>
      <c r="AE63" s="774"/>
      <c r="AF63" s="774"/>
      <c r="AG63" s="775"/>
      <c r="AH63" s="774"/>
      <c r="AI63" s="774"/>
      <c r="AJ63" s="774"/>
      <c r="AK63" s="775"/>
      <c r="AL63" s="776">
        <f>AK63*E63</f>
        <v>0</v>
      </c>
      <c r="AM63" s="777">
        <f t="shared" ref="AM63:AN71" si="1">AK63+AI63</f>
        <v>0</v>
      </c>
      <c r="AN63" s="778">
        <f t="shared" si="1"/>
        <v>0</v>
      </c>
      <c r="AO63" s="779"/>
      <c r="AP63" s="778">
        <f>AO63*E63</f>
        <v>0</v>
      </c>
    </row>
    <row r="64" spans="1:42" s="780" customFormat="1" ht="12.75" customHeight="1">
      <c r="A64" s="739"/>
      <c r="B64" s="802"/>
      <c r="C64" s="746"/>
      <c r="D64" s="760"/>
      <c r="E64" s="737"/>
      <c r="F64" s="747"/>
      <c r="G64" s="775"/>
      <c r="H64" s="775"/>
      <c r="I64" s="775"/>
      <c r="J64" s="775"/>
      <c r="K64" s="775"/>
      <c r="L64" s="775"/>
      <c r="M64" s="775"/>
      <c r="N64" s="775"/>
      <c r="O64" s="775"/>
      <c r="P64" s="775"/>
      <c r="Q64" s="775"/>
      <c r="R64" s="775"/>
      <c r="S64" s="775"/>
      <c r="T64" s="774"/>
      <c r="U64" s="775"/>
      <c r="V64" s="775"/>
      <c r="W64" s="775"/>
      <c r="X64" s="774"/>
      <c r="Y64" s="775"/>
      <c r="Z64" s="775"/>
      <c r="AA64" s="774"/>
      <c r="AB64" s="774"/>
      <c r="AC64" s="775"/>
      <c r="AD64" s="774"/>
      <c r="AE64" s="774"/>
      <c r="AF64" s="774"/>
      <c r="AG64" s="775"/>
      <c r="AH64" s="774"/>
      <c r="AI64" s="774"/>
      <c r="AJ64" s="774"/>
      <c r="AK64" s="775"/>
      <c r="AL64" s="776">
        <f>AK64*E64</f>
        <v>0</v>
      </c>
      <c r="AM64" s="777">
        <f t="shared" si="1"/>
        <v>0</v>
      </c>
      <c r="AN64" s="778">
        <f t="shared" si="1"/>
        <v>0</v>
      </c>
      <c r="AO64" s="779"/>
      <c r="AP64" s="778">
        <f>AO64*E64</f>
        <v>0</v>
      </c>
    </row>
    <row r="65" spans="1:42" s="780" customFormat="1" ht="17.5">
      <c r="A65" s="761" t="s">
        <v>1457</v>
      </c>
      <c r="B65" s="762" t="s">
        <v>1429</v>
      </c>
      <c r="C65" s="772" t="s">
        <v>10</v>
      </c>
      <c r="D65" s="773">
        <v>15</v>
      </c>
      <c r="E65" s="804"/>
      <c r="F65" s="747">
        <f>D65*E65</f>
        <v>0</v>
      </c>
      <c r="G65" s="775"/>
      <c r="H65" s="775"/>
      <c r="I65" s="775"/>
      <c r="J65" s="775"/>
      <c r="K65" s="775"/>
      <c r="L65" s="775"/>
      <c r="M65" s="775"/>
      <c r="N65" s="775"/>
      <c r="O65" s="775"/>
      <c r="P65" s="775"/>
      <c r="Q65" s="775"/>
      <c r="R65" s="775"/>
      <c r="S65" s="775"/>
      <c r="T65" s="774"/>
      <c r="U65" s="775"/>
      <c r="V65" s="775"/>
      <c r="W65" s="775"/>
      <c r="X65" s="774"/>
      <c r="Y65" s="775"/>
      <c r="Z65" s="775"/>
      <c r="AA65" s="774"/>
      <c r="AB65" s="774"/>
      <c r="AC65" s="775"/>
      <c r="AD65" s="774"/>
      <c r="AE65" s="774"/>
      <c r="AF65" s="774"/>
      <c r="AG65" s="775"/>
      <c r="AH65" s="774"/>
      <c r="AI65" s="774"/>
      <c r="AJ65" s="774"/>
      <c r="AK65" s="775"/>
      <c r="AL65" s="776">
        <f>AK65*E65</f>
        <v>0</v>
      </c>
      <c r="AM65" s="777">
        <f t="shared" si="1"/>
        <v>0</v>
      </c>
      <c r="AN65" s="778">
        <f t="shared" si="1"/>
        <v>0</v>
      </c>
      <c r="AO65" s="779"/>
      <c r="AP65" s="778">
        <f>AO65*E65</f>
        <v>0</v>
      </c>
    </row>
    <row r="66" spans="1:42" s="780" customFormat="1" ht="12.75" customHeight="1">
      <c r="A66" s="758"/>
      <c r="B66" s="753"/>
      <c r="C66" s="746"/>
      <c r="D66" s="736"/>
      <c r="E66" s="804"/>
      <c r="F66" s="747"/>
      <c r="G66" s="775"/>
      <c r="H66" s="775"/>
      <c r="I66" s="775"/>
      <c r="J66" s="775"/>
      <c r="K66" s="775"/>
      <c r="L66" s="775"/>
      <c r="M66" s="775"/>
      <c r="N66" s="775"/>
      <c r="O66" s="775"/>
      <c r="P66" s="775"/>
      <c r="Q66" s="775"/>
      <c r="R66" s="775"/>
      <c r="S66" s="775"/>
      <c r="T66" s="774"/>
      <c r="U66" s="775"/>
      <c r="V66" s="775"/>
      <c r="W66" s="775"/>
      <c r="X66" s="774"/>
      <c r="Y66" s="775"/>
      <c r="Z66" s="775"/>
      <c r="AA66" s="774"/>
      <c r="AB66" s="774"/>
      <c r="AC66" s="775"/>
      <c r="AD66" s="774"/>
      <c r="AE66" s="774"/>
      <c r="AF66" s="774"/>
      <c r="AG66" s="775"/>
      <c r="AH66" s="774"/>
      <c r="AI66" s="774"/>
      <c r="AJ66" s="774"/>
      <c r="AK66" s="775"/>
      <c r="AL66" s="776">
        <f t="shared" ref="AL66:AL71" si="2">AK66*E66</f>
        <v>0</v>
      </c>
      <c r="AM66" s="777">
        <f t="shared" si="1"/>
        <v>0</v>
      </c>
      <c r="AN66" s="778">
        <f t="shared" si="1"/>
        <v>0</v>
      </c>
      <c r="AO66" s="779"/>
      <c r="AP66" s="778">
        <f t="shared" ref="AP66:AP71" si="3">AO66*E66</f>
        <v>0</v>
      </c>
    </row>
    <row r="67" spans="1:42" s="780" customFormat="1" ht="17.5">
      <c r="A67" s="739" t="s">
        <v>1456</v>
      </c>
      <c r="B67" s="757" t="s">
        <v>1430</v>
      </c>
      <c r="C67" s="746" t="s">
        <v>10</v>
      </c>
      <c r="D67" s="736">
        <v>20</v>
      </c>
      <c r="E67" s="804"/>
      <c r="F67" s="747">
        <f>D67*E67</f>
        <v>0</v>
      </c>
      <c r="G67" s="775"/>
      <c r="H67" s="775"/>
      <c r="I67" s="775"/>
      <c r="J67" s="775"/>
      <c r="K67" s="775"/>
      <c r="L67" s="775"/>
      <c r="M67" s="775"/>
      <c r="N67" s="775"/>
      <c r="O67" s="775"/>
      <c r="P67" s="775"/>
      <c r="Q67" s="775"/>
      <c r="R67" s="775"/>
      <c r="S67" s="775"/>
      <c r="T67" s="774"/>
      <c r="U67" s="775"/>
      <c r="V67" s="775"/>
      <c r="W67" s="775"/>
      <c r="X67" s="774"/>
      <c r="Y67" s="775"/>
      <c r="Z67" s="775"/>
      <c r="AA67" s="774"/>
      <c r="AB67" s="774"/>
      <c r="AC67" s="775"/>
      <c r="AD67" s="774"/>
      <c r="AE67" s="774"/>
      <c r="AF67" s="774"/>
      <c r="AG67" s="775"/>
      <c r="AH67" s="774"/>
      <c r="AI67" s="774"/>
      <c r="AJ67" s="774"/>
      <c r="AK67" s="775"/>
      <c r="AL67" s="776">
        <f t="shared" si="2"/>
        <v>0</v>
      </c>
      <c r="AM67" s="777">
        <f t="shared" si="1"/>
        <v>0</v>
      </c>
      <c r="AN67" s="778">
        <f t="shared" si="1"/>
        <v>0</v>
      </c>
      <c r="AO67" s="779"/>
      <c r="AP67" s="778">
        <f t="shared" si="3"/>
        <v>0</v>
      </c>
    </row>
    <row r="68" spans="1:42" s="780" customFormat="1" ht="12.75" customHeight="1">
      <c r="A68" s="739"/>
      <c r="B68" s="759"/>
      <c r="C68" s="746"/>
      <c r="D68" s="760"/>
      <c r="E68" s="804"/>
      <c r="F68" s="747"/>
      <c r="G68" s="775"/>
      <c r="H68" s="775"/>
      <c r="I68" s="775"/>
      <c r="J68" s="775"/>
      <c r="K68" s="775"/>
      <c r="L68" s="775"/>
      <c r="M68" s="775"/>
      <c r="N68" s="775"/>
      <c r="O68" s="775"/>
      <c r="P68" s="775"/>
      <c r="Q68" s="775"/>
      <c r="R68" s="775"/>
      <c r="S68" s="775"/>
      <c r="T68" s="774"/>
      <c r="U68" s="775"/>
      <c r="V68" s="775"/>
      <c r="W68" s="775"/>
      <c r="X68" s="774"/>
      <c r="Y68" s="775"/>
      <c r="Z68" s="775"/>
      <c r="AA68" s="774"/>
      <c r="AB68" s="774"/>
      <c r="AC68" s="775"/>
      <c r="AD68" s="774"/>
      <c r="AE68" s="774"/>
      <c r="AF68" s="774"/>
      <c r="AG68" s="775"/>
      <c r="AH68" s="774"/>
      <c r="AI68" s="774"/>
      <c r="AJ68" s="774"/>
      <c r="AK68" s="775"/>
      <c r="AL68" s="776">
        <f t="shared" si="2"/>
        <v>0</v>
      </c>
      <c r="AM68" s="777">
        <f t="shared" si="1"/>
        <v>0</v>
      </c>
      <c r="AN68" s="778">
        <f t="shared" si="1"/>
        <v>0</v>
      </c>
      <c r="AO68" s="779"/>
      <c r="AP68" s="778">
        <f t="shared" si="3"/>
        <v>0</v>
      </c>
    </row>
    <row r="69" spans="1:42" s="780" customFormat="1" ht="17.5">
      <c r="A69" s="739" t="s">
        <v>1455</v>
      </c>
      <c r="B69" s="757" t="s">
        <v>1431</v>
      </c>
      <c r="C69" s="746" t="s">
        <v>10</v>
      </c>
      <c r="D69" s="736">
        <v>12</v>
      </c>
      <c r="E69" s="804"/>
      <c r="F69" s="747">
        <f>D69*E69</f>
        <v>0</v>
      </c>
      <c r="G69" s="775"/>
      <c r="H69" s="775"/>
      <c r="I69" s="775"/>
      <c r="J69" s="775"/>
      <c r="K69" s="775"/>
      <c r="L69" s="775"/>
      <c r="M69" s="775"/>
      <c r="N69" s="775"/>
      <c r="O69" s="775"/>
      <c r="P69" s="775"/>
      <c r="Q69" s="775"/>
      <c r="R69" s="775"/>
      <c r="S69" s="775"/>
      <c r="T69" s="774"/>
      <c r="U69" s="775"/>
      <c r="V69" s="775"/>
      <c r="W69" s="775"/>
      <c r="X69" s="774"/>
      <c r="Y69" s="775"/>
      <c r="Z69" s="775"/>
      <c r="AA69" s="774"/>
      <c r="AB69" s="774"/>
      <c r="AC69" s="775"/>
      <c r="AD69" s="774"/>
      <c r="AE69" s="774"/>
      <c r="AF69" s="774"/>
      <c r="AG69" s="775"/>
      <c r="AH69" s="774"/>
      <c r="AI69" s="774"/>
      <c r="AJ69" s="774"/>
      <c r="AK69" s="775"/>
      <c r="AL69" s="776">
        <f t="shared" si="2"/>
        <v>0</v>
      </c>
      <c r="AM69" s="777">
        <f t="shared" si="1"/>
        <v>0</v>
      </c>
      <c r="AN69" s="778">
        <f t="shared" si="1"/>
        <v>0</v>
      </c>
      <c r="AO69" s="779">
        <v>4</v>
      </c>
      <c r="AP69" s="778">
        <f t="shared" si="3"/>
        <v>0</v>
      </c>
    </row>
    <row r="70" spans="1:42" s="780" customFormat="1" ht="12.75" customHeight="1">
      <c r="A70" s="739"/>
      <c r="B70" s="757"/>
      <c r="C70" s="746"/>
      <c r="D70" s="736"/>
      <c r="E70" s="804"/>
      <c r="F70" s="747"/>
      <c r="G70" s="775"/>
      <c r="H70" s="775"/>
      <c r="I70" s="775"/>
      <c r="J70" s="775"/>
      <c r="K70" s="775"/>
      <c r="L70" s="775"/>
      <c r="M70" s="775"/>
      <c r="N70" s="775"/>
      <c r="O70" s="775"/>
      <c r="P70" s="775"/>
      <c r="Q70" s="775"/>
      <c r="R70" s="775"/>
      <c r="S70" s="775"/>
      <c r="T70" s="774"/>
      <c r="U70" s="775"/>
      <c r="V70" s="775"/>
      <c r="W70" s="775"/>
      <c r="X70" s="774"/>
      <c r="Y70" s="775"/>
      <c r="Z70" s="775"/>
      <c r="AA70" s="774"/>
      <c r="AB70" s="774"/>
      <c r="AC70" s="775"/>
      <c r="AD70" s="774"/>
      <c r="AE70" s="774"/>
      <c r="AF70" s="774"/>
      <c r="AG70" s="775"/>
      <c r="AH70" s="774"/>
      <c r="AI70" s="774"/>
      <c r="AJ70" s="774"/>
      <c r="AK70" s="775"/>
      <c r="AL70" s="776">
        <f t="shared" si="2"/>
        <v>0</v>
      </c>
      <c r="AM70" s="777">
        <f t="shared" si="1"/>
        <v>0</v>
      </c>
      <c r="AN70" s="778">
        <f t="shared" si="1"/>
        <v>0</v>
      </c>
      <c r="AO70" s="779"/>
      <c r="AP70" s="778">
        <f t="shared" si="3"/>
        <v>0</v>
      </c>
    </row>
    <row r="71" spans="1:42" s="780" customFormat="1" ht="17.5">
      <c r="A71" s="739" t="s">
        <v>1454</v>
      </c>
      <c r="B71" s="805" t="s">
        <v>1432</v>
      </c>
      <c r="C71" s="746" t="s">
        <v>10</v>
      </c>
      <c r="D71" s="760">
        <v>10</v>
      </c>
      <c r="E71" s="804"/>
      <c r="F71" s="747">
        <f>D71*E71</f>
        <v>0</v>
      </c>
      <c r="G71" s="775"/>
      <c r="H71" s="775"/>
      <c r="I71" s="775"/>
      <c r="J71" s="775"/>
      <c r="K71" s="775"/>
      <c r="L71" s="775"/>
      <c r="M71" s="775"/>
      <c r="N71" s="775"/>
      <c r="O71" s="775"/>
      <c r="P71" s="775"/>
      <c r="Q71" s="775"/>
      <c r="R71" s="775"/>
      <c r="S71" s="775"/>
      <c r="T71" s="774"/>
      <c r="U71" s="775"/>
      <c r="V71" s="775"/>
      <c r="W71" s="775"/>
      <c r="X71" s="774"/>
      <c r="Y71" s="775"/>
      <c r="Z71" s="775"/>
      <c r="AA71" s="774"/>
      <c r="AB71" s="774"/>
      <c r="AC71" s="775"/>
      <c r="AD71" s="774"/>
      <c r="AE71" s="774"/>
      <c r="AF71" s="774"/>
      <c r="AG71" s="775"/>
      <c r="AH71" s="774"/>
      <c r="AI71" s="774"/>
      <c r="AJ71" s="774"/>
      <c r="AK71" s="775"/>
      <c r="AL71" s="776">
        <f t="shared" si="2"/>
        <v>0</v>
      </c>
      <c r="AM71" s="777">
        <f t="shared" si="1"/>
        <v>0</v>
      </c>
      <c r="AN71" s="778">
        <f t="shared" si="1"/>
        <v>0</v>
      </c>
      <c r="AO71" s="779">
        <v>2</v>
      </c>
      <c r="AP71" s="778">
        <f t="shared" si="3"/>
        <v>0</v>
      </c>
    </row>
    <row r="72" spans="1:42" s="780" customFormat="1" ht="15.5">
      <c r="A72" s="739"/>
      <c r="B72" s="805"/>
      <c r="C72" s="746"/>
      <c r="D72" s="760"/>
      <c r="E72" s="804"/>
      <c r="F72" s="747"/>
      <c r="G72" s="775"/>
      <c r="H72" s="775"/>
      <c r="I72" s="775"/>
      <c r="J72" s="775"/>
      <c r="K72" s="775"/>
      <c r="L72" s="775"/>
      <c r="M72" s="775"/>
      <c r="N72" s="775"/>
      <c r="O72" s="775"/>
      <c r="P72" s="775"/>
      <c r="Q72" s="775"/>
      <c r="R72" s="775"/>
      <c r="S72" s="775"/>
      <c r="T72" s="774"/>
      <c r="U72" s="775"/>
      <c r="V72" s="775"/>
      <c r="W72" s="775"/>
      <c r="X72" s="774"/>
      <c r="Y72" s="775"/>
      <c r="Z72" s="775"/>
      <c r="AA72" s="774"/>
      <c r="AB72" s="774"/>
      <c r="AC72" s="775"/>
      <c r="AD72" s="774"/>
      <c r="AE72" s="774"/>
      <c r="AF72" s="774"/>
      <c r="AG72" s="775"/>
      <c r="AH72" s="774"/>
      <c r="AI72" s="774"/>
      <c r="AJ72" s="774"/>
      <c r="AK72" s="775"/>
      <c r="AL72" s="774"/>
      <c r="AM72" s="774"/>
      <c r="AN72" s="774"/>
      <c r="AO72" s="806"/>
      <c r="AP72" s="774"/>
    </row>
    <row r="73" spans="1:42" s="780" customFormat="1" ht="31">
      <c r="A73" s="739"/>
      <c r="B73" s="807" t="s">
        <v>1348</v>
      </c>
      <c r="C73" s="746"/>
      <c r="D73" s="760"/>
      <c r="E73" s="804"/>
      <c r="F73" s="747"/>
      <c r="G73" s="775"/>
      <c r="H73" s="775"/>
      <c r="I73" s="775"/>
      <c r="J73" s="775"/>
      <c r="K73" s="775"/>
      <c r="L73" s="775"/>
      <c r="M73" s="775"/>
      <c r="N73" s="775"/>
      <c r="O73" s="775"/>
      <c r="P73" s="775"/>
      <c r="Q73" s="775"/>
      <c r="R73" s="775"/>
      <c r="S73" s="775"/>
      <c r="T73" s="774"/>
      <c r="U73" s="775"/>
      <c r="V73" s="775"/>
      <c r="W73" s="775"/>
      <c r="X73" s="774"/>
      <c r="Y73" s="775"/>
      <c r="Z73" s="775"/>
      <c r="AA73" s="774"/>
      <c r="AB73" s="774"/>
      <c r="AC73" s="775"/>
      <c r="AD73" s="774"/>
      <c r="AE73" s="774"/>
      <c r="AF73" s="774"/>
      <c r="AG73" s="775"/>
      <c r="AH73" s="774"/>
      <c r="AI73" s="774"/>
      <c r="AJ73" s="774"/>
      <c r="AK73" s="775"/>
      <c r="AL73" s="774"/>
      <c r="AM73" s="774"/>
      <c r="AN73" s="774"/>
      <c r="AO73" s="806"/>
      <c r="AP73" s="774"/>
    </row>
    <row r="74" spans="1:42" s="780" customFormat="1" ht="15.5">
      <c r="A74" s="739"/>
      <c r="B74" s="805"/>
      <c r="C74" s="746"/>
      <c r="D74" s="760"/>
      <c r="E74" s="804"/>
      <c r="F74" s="747"/>
      <c r="G74" s="775"/>
      <c r="H74" s="775"/>
      <c r="I74" s="775"/>
      <c r="J74" s="775"/>
      <c r="K74" s="775"/>
      <c r="L74" s="775"/>
      <c r="M74" s="775"/>
      <c r="N74" s="775"/>
      <c r="O74" s="775"/>
      <c r="P74" s="775"/>
      <c r="Q74" s="775"/>
      <c r="R74" s="775"/>
      <c r="S74" s="775"/>
      <c r="T74" s="774"/>
      <c r="U74" s="775"/>
      <c r="V74" s="775"/>
      <c r="W74" s="775"/>
      <c r="X74" s="774"/>
      <c r="Y74" s="775"/>
      <c r="Z74" s="775"/>
      <c r="AA74" s="774"/>
      <c r="AB74" s="774"/>
      <c r="AC74" s="775"/>
      <c r="AD74" s="774"/>
      <c r="AE74" s="774"/>
      <c r="AF74" s="774"/>
      <c r="AG74" s="775"/>
      <c r="AH74" s="774"/>
      <c r="AI74" s="774"/>
      <c r="AJ74" s="774"/>
      <c r="AK74" s="775"/>
      <c r="AL74" s="774"/>
      <c r="AM74" s="774"/>
      <c r="AN74" s="774"/>
      <c r="AO74" s="806"/>
      <c r="AP74" s="774"/>
    </row>
    <row r="75" spans="1:42" s="780" customFormat="1" ht="17.5">
      <c r="A75" s="739" t="s">
        <v>1453</v>
      </c>
      <c r="B75" s="805" t="s">
        <v>1433</v>
      </c>
      <c r="C75" s="746" t="s">
        <v>10</v>
      </c>
      <c r="D75" s="760">
        <f>ROUNDUP((25%*(D65+D67+D69+D71)),0)</f>
        <v>15</v>
      </c>
      <c r="E75" s="804"/>
      <c r="F75" s="747">
        <f>D75*E75</f>
        <v>0</v>
      </c>
      <c r="G75" s="775"/>
      <c r="H75" s="775"/>
      <c r="I75" s="775"/>
      <c r="J75" s="775"/>
      <c r="K75" s="775"/>
      <c r="L75" s="775"/>
      <c r="M75" s="775"/>
      <c r="N75" s="775"/>
      <c r="O75" s="775"/>
      <c r="P75" s="775"/>
      <c r="Q75" s="775"/>
      <c r="R75" s="775"/>
      <c r="S75" s="775"/>
      <c r="T75" s="774"/>
      <c r="U75" s="775"/>
      <c r="V75" s="775"/>
      <c r="W75" s="775"/>
      <c r="X75" s="774"/>
      <c r="Y75" s="775"/>
      <c r="Z75" s="775"/>
      <c r="AA75" s="774"/>
      <c r="AB75" s="774"/>
      <c r="AC75" s="775"/>
      <c r="AD75" s="774"/>
      <c r="AE75" s="774"/>
      <c r="AF75" s="774"/>
      <c r="AG75" s="775"/>
      <c r="AH75" s="774"/>
      <c r="AI75" s="774"/>
      <c r="AJ75" s="774"/>
      <c r="AK75" s="775"/>
      <c r="AL75" s="774"/>
      <c r="AM75" s="774"/>
      <c r="AN75" s="774"/>
      <c r="AO75" s="806"/>
      <c r="AP75" s="774"/>
    </row>
    <row r="76" spans="1:42" ht="12.75" customHeight="1">
      <c r="A76" s="739"/>
      <c r="B76" s="759"/>
      <c r="C76" s="746"/>
      <c r="D76" s="760"/>
      <c r="E76" s="737"/>
      <c r="F76" s="747"/>
    </row>
    <row r="77" spans="1:42" ht="12.75" customHeight="1">
      <c r="A77" s="739"/>
      <c r="B77" s="759"/>
      <c r="C77" s="746"/>
      <c r="D77" s="760"/>
      <c r="E77" s="737"/>
      <c r="F77" s="747"/>
    </row>
    <row r="78" spans="1:42" ht="12.75" customHeight="1">
      <c r="A78" s="739"/>
      <c r="B78" s="759"/>
      <c r="C78" s="746"/>
      <c r="D78" s="760"/>
      <c r="E78" s="737"/>
      <c r="F78" s="747"/>
    </row>
    <row r="79" spans="1:42" ht="12.75" customHeight="1">
      <c r="A79" s="739"/>
      <c r="B79" s="759"/>
      <c r="C79" s="746"/>
      <c r="D79" s="760"/>
      <c r="E79" s="737"/>
      <c r="F79" s="747"/>
    </row>
    <row r="80" spans="1:42" ht="12.75" customHeight="1">
      <c r="A80" s="739"/>
      <c r="B80" s="759"/>
      <c r="C80" s="746"/>
      <c r="D80" s="760"/>
      <c r="E80" s="737"/>
      <c r="F80" s="747"/>
    </row>
    <row r="81" spans="1:42" ht="12.75" customHeight="1">
      <c r="A81" s="739"/>
      <c r="B81" s="759"/>
      <c r="C81" s="746"/>
      <c r="D81" s="760"/>
      <c r="E81" s="737"/>
      <c r="F81" s="747"/>
    </row>
    <row r="82" spans="1:42" ht="12.75" customHeight="1">
      <c r="A82" s="739"/>
      <c r="B82" s="759"/>
      <c r="C82" s="746"/>
      <c r="D82" s="760"/>
      <c r="E82" s="737"/>
      <c r="F82" s="747"/>
    </row>
    <row r="83" spans="1:42" ht="12.75" customHeight="1">
      <c r="A83" s="739"/>
      <c r="B83" s="759"/>
      <c r="C83" s="746"/>
      <c r="D83" s="760"/>
      <c r="E83" s="737"/>
      <c r="F83" s="747"/>
    </row>
    <row r="84" spans="1:42" ht="12.75" customHeight="1">
      <c r="A84" s="739"/>
      <c r="B84" s="759"/>
      <c r="C84" s="746"/>
      <c r="D84" s="760"/>
      <c r="E84" s="737"/>
      <c r="F84" s="747"/>
    </row>
    <row r="85" spans="1:42" ht="12.75" customHeight="1">
      <c r="A85" s="739"/>
      <c r="B85" s="759"/>
      <c r="C85" s="746"/>
      <c r="D85" s="760"/>
      <c r="E85" s="737"/>
      <c r="F85" s="747"/>
    </row>
    <row r="86" spans="1:42" ht="12.75" customHeight="1">
      <c r="A86" s="739"/>
      <c r="B86" s="759"/>
      <c r="C86" s="746"/>
      <c r="D86" s="760"/>
      <c r="E86" s="737"/>
      <c r="F86" s="747"/>
    </row>
    <row r="87" spans="1:42" ht="12.75" customHeight="1">
      <c r="A87" s="739"/>
      <c r="B87" s="759"/>
      <c r="C87" s="746"/>
      <c r="D87" s="760"/>
      <c r="E87" s="737"/>
      <c r="F87" s="747"/>
    </row>
    <row r="88" spans="1:42" ht="12.75" customHeight="1" thickBot="1">
      <c r="A88" s="739"/>
      <c r="B88" s="759"/>
      <c r="C88" s="746"/>
      <c r="D88" s="760"/>
      <c r="E88" s="737"/>
      <c r="F88" s="747"/>
    </row>
    <row r="89" spans="1:42" ht="12.75" customHeight="1" thickTop="1">
      <c r="A89" s="781"/>
      <c r="B89" s="782"/>
      <c r="C89" s="783"/>
      <c r="D89" s="784"/>
      <c r="E89" s="785"/>
      <c r="F89" s="851"/>
    </row>
    <row r="90" spans="1:42" ht="12.75" customHeight="1">
      <c r="A90" s="787"/>
      <c r="B90" s="788" t="s">
        <v>301</v>
      </c>
      <c r="C90" s="789"/>
      <c r="D90" s="790"/>
      <c r="E90" s="791"/>
      <c r="F90" s="852"/>
    </row>
    <row r="91" spans="1:42" ht="12.75" customHeight="1" thickBot="1">
      <c r="A91" s="792"/>
      <c r="B91" s="793"/>
      <c r="C91" s="794"/>
      <c r="D91" s="795"/>
      <c r="E91" s="796"/>
      <c r="F91" s="853"/>
    </row>
    <row r="92" spans="1:42" ht="12.75" customHeight="1" thickTop="1">
      <c r="A92" s="816"/>
      <c r="B92" s="875"/>
      <c r="C92" s="876"/>
      <c r="D92" s="877"/>
      <c r="E92" s="878"/>
      <c r="F92" s="879"/>
    </row>
    <row r="93" spans="1:42" s="786" customFormat="1" ht="15.5">
      <c r="A93" s="739"/>
      <c r="B93" s="759" t="s">
        <v>328</v>
      </c>
      <c r="C93" s="746"/>
      <c r="D93" s="760"/>
      <c r="E93" s="737"/>
      <c r="F93" s="747"/>
      <c r="G93" s="775"/>
      <c r="H93" s="775"/>
      <c r="I93" s="775"/>
      <c r="J93" s="775"/>
      <c r="K93" s="775"/>
      <c r="L93" s="775"/>
      <c r="M93" s="775"/>
      <c r="N93" s="775"/>
      <c r="O93" s="775"/>
      <c r="P93" s="775"/>
      <c r="Q93" s="775"/>
      <c r="R93" s="775"/>
      <c r="S93" s="775"/>
      <c r="T93" s="774"/>
      <c r="U93" s="775"/>
      <c r="V93" s="775"/>
      <c r="W93" s="775"/>
      <c r="X93" s="774"/>
      <c r="Y93" s="775"/>
      <c r="Z93" s="775"/>
      <c r="AA93" s="774"/>
      <c r="AB93" s="774"/>
      <c r="AC93" s="775"/>
      <c r="AD93" s="774"/>
      <c r="AE93" s="774"/>
      <c r="AF93" s="774"/>
      <c r="AG93" s="775"/>
      <c r="AH93" s="774"/>
      <c r="AI93" s="774"/>
      <c r="AJ93" s="774"/>
      <c r="AK93" s="775"/>
      <c r="AL93" s="776">
        <f t="shared" ref="AL93:AL105" si="4">AK93*E93</f>
        <v>0</v>
      </c>
      <c r="AM93" s="777">
        <f t="shared" ref="AM93:AN105" si="5">AK93+AI93</f>
        <v>0</v>
      </c>
      <c r="AN93" s="778">
        <f t="shared" si="5"/>
        <v>0</v>
      </c>
      <c r="AO93" s="779"/>
      <c r="AP93" s="778">
        <f t="shared" ref="AP93:AP105" si="6">AO93*E93</f>
        <v>0</v>
      </c>
    </row>
    <row r="94" spans="1:42" s="786" customFormat="1" ht="12.75" customHeight="1">
      <c r="A94" s="739"/>
      <c r="B94" s="757"/>
      <c r="C94" s="746"/>
      <c r="D94" s="760"/>
      <c r="E94" s="737"/>
      <c r="F94" s="747"/>
      <c r="G94" s="775"/>
      <c r="H94" s="775"/>
      <c r="I94" s="775"/>
      <c r="J94" s="775"/>
      <c r="K94" s="775"/>
      <c r="L94" s="775"/>
      <c r="M94" s="775"/>
      <c r="N94" s="775"/>
      <c r="O94" s="775"/>
      <c r="P94" s="775"/>
      <c r="Q94" s="775"/>
      <c r="R94" s="775"/>
      <c r="S94" s="775"/>
      <c r="T94" s="774"/>
      <c r="U94" s="775"/>
      <c r="V94" s="775"/>
      <c r="W94" s="775"/>
      <c r="X94" s="774"/>
      <c r="Y94" s="775"/>
      <c r="Z94" s="775"/>
      <c r="AA94" s="774"/>
      <c r="AB94" s="774"/>
      <c r="AC94" s="775"/>
      <c r="AD94" s="774"/>
      <c r="AE94" s="774"/>
      <c r="AF94" s="774"/>
      <c r="AG94" s="775"/>
      <c r="AH94" s="774"/>
      <c r="AI94" s="774"/>
      <c r="AJ94" s="774"/>
      <c r="AK94" s="775"/>
      <c r="AL94" s="776">
        <f t="shared" si="4"/>
        <v>0</v>
      </c>
      <c r="AM94" s="777">
        <f t="shared" si="5"/>
        <v>0</v>
      </c>
      <c r="AN94" s="778">
        <f t="shared" si="5"/>
        <v>0</v>
      </c>
      <c r="AO94" s="779"/>
      <c r="AP94" s="778">
        <f t="shared" si="6"/>
        <v>0</v>
      </c>
    </row>
    <row r="95" spans="1:42" s="786" customFormat="1" ht="15.5">
      <c r="A95" s="763"/>
      <c r="B95" s="764" t="s">
        <v>329</v>
      </c>
      <c r="C95" s="746"/>
      <c r="D95" s="736"/>
      <c r="E95" s="737"/>
      <c r="F95" s="747"/>
      <c r="G95" s="775"/>
      <c r="H95" s="775"/>
      <c r="I95" s="775"/>
      <c r="J95" s="775"/>
      <c r="K95" s="775"/>
      <c r="L95" s="775"/>
      <c r="M95" s="775"/>
      <c r="N95" s="775"/>
      <c r="O95" s="775"/>
      <c r="P95" s="775"/>
      <c r="Q95" s="775"/>
      <c r="R95" s="775"/>
      <c r="S95" s="775"/>
      <c r="T95" s="774"/>
      <c r="U95" s="775"/>
      <c r="V95" s="775"/>
      <c r="W95" s="775"/>
      <c r="X95" s="774"/>
      <c r="Y95" s="775"/>
      <c r="Z95" s="775"/>
      <c r="AA95" s="774"/>
      <c r="AB95" s="774"/>
      <c r="AC95" s="775"/>
      <c r="AD95" s="774"/>
      <c r="AE95" s="774"/>
      <c r="AF95" s="774"/>
      <c r="AG95" s="775"/>
      <c r="AH95" s="774"/>
      <c r="AI95" s="774"/>
      <c r="AJ95" s="774"/>
      <c r="AK95" s="775"/>
      <c r="AL95" s="776">
        <f t="shared" si="4"/>
        <v>0</v>
      </c>
      <c r="AM95" s="777">
        <f t="shared" si="5"/>
        <v>0</v>
      </c>
      <c r="AN95" s="778">
        <f t="shared" si="5"/>
        <v>0</v>
      </c>
      <c r="AO95" s="779"/>
      <c r="AP95" s="778">
        <f t="shared" si="6"/>
        <v>0</v>
      </c>
    </row>
    <row r="96" spans="1:42" s="786" customFormat="1" ht="12.75" customHeight="1">
      <c r="A96" s="763"/>
      <c r="B96" s="764"/>
      <c r="C96" s="746"/>
      <c r="D96" s="736"/>
      <c r="E96" s="737"/>
      <c r="F96" s="747"/>
      <c r="G96" s="775"/>
      <c r="H96" s="775"/>
      <c r="I96" s="775"/>
      <c r="J96" s="775"/>
      <c r="K96" s="775"/>
      <c r="L96" s="775"/>
      <c r="M96" s="775"/>
      <c r="N96" s="775"/>
      <c r="O96" s="775"/>
      <c r="P96" s="775"/>
      <c r="Q96" s="775"/>
      <c r="R96" s="775"/>
      <c r="S96" s="775"/>
      <c r="T96" s="774"/>
      <c r="U96" s="775"/>
      <c r="V96" s="775"/>
      <c r="W96" s="775"/>
      <c r="X96" s="774"/>
      <c r="Y96" s="775"/>
      <c r="Z96" s="775"/>
      <c r="AA96" s="774"/>
      <c r="AB96" s="774"/>
      <c r="AC96" s="775"/>
      <c r="AD96" s="774"/>
      <c r="AE96" s="774"/>
      <c r="AF96" s="774"/>
      <c r="AG96" s="775"/>
      <c r="AH96" s="774"/>
      <c r="AI96" s="774"/>
      <c r="AJ96" s="774"/>
      <c r="AK96" s="775"/>
      <c r="AL96" s="776">
        <f t="shared" si="4"/>
        <v>0</v>
      </c>
      <c r="AM96" s="777">
        <f t="shared" si="5"/>
        <v>0</v>
      </c>
      <c r="AN96" s="778">
        <f t="shared" si="5"/>
        <v>0</v>
      </c>
      <c r="AO96" s="779"/>
      <c r="AP96" s="778">
        <f t="shared" si="6"/>
        <v>0</v>
      </c>
    </row>
    <row r="97" spans="1:42" s="786" customFormat="1" ht="33">
      <c r="A97" s="761" t="s">
        <v>1452</v>
      </c>
      <c r="B97" s="762" t="s">
        <v>1434</v>
      </c>
      <c r="C97" s="746" t="s">
        <v>10</v>
      </c>
      <c r="D97" s="741">
        <v>7</v>
      </c>
      <c r="E97" s="804"/>
      <c r="F97" s="747">
        <f>D97*E97</f>
        <v>0</v>
      </c>
      <c r="G97" s="775"/>
      <c r="H97" s="775"/>
      <c r="I97" s="775"/>
      <c r="J97" s="775"/>
      <c r="K97" s="775"/>
      <c r="L97" s="775"/>
      <c r="M97" s="775"/>
      <c r="N97" s="775"/>
      <c r="O97" s="775"/>
      <c r="P97" s="775"/>
      <c r="Q97" s="775"/>
      <c r="R97" s="775"/>
      <c r="S97" s="775"/>
      <c r="T97" s="774"/>
      <c r="U97" s="775"/>
      <c r="V97" s="775"/>
      <c r="W97" s="775"/>
      <c r="X97" s="774"/>
      <c r="Y97" s="775"/>
      <c r="Z97" s="775"/>
      <c r="AA97" s="774"/>
      <c r="AB97" s="774"/>
      <c r="AC97" s="775"/>
      <c r="AD97" s="774"/>
      <c r="AE97" s="774"/>
      <c r="AF97" s="774"/>
      <c r="AG97" s="775"/>
      <c r="AH97" s="774"/>
      <c r="AI97" s="774"/>
      <c r="AJ97" s="774"/>
      <c r="AK97" s="775"/>
      <c r="AL97" s="776">
        <f t="shared" si="4"/>
        <v>0</v>
      </c>
      <c r="AM97" s="777">
        <f t="shared" si="5"/>
        <v>0</v>
      </c>
      <c r="AN97" s="778">
        <f t="shared" si="5"/>
        <v>0</v>
      </c>
      <c r="AO97" s="779"/>
      <c r="AP97" s="778">
        <f t="shared" si="6"/>
        <v>0</v>
      </c>
    </row>
    <row r="98" spans="1:42" s="786" customFormat="1" ht="12.75" customHeight="1">
      <c r="A98" s="739"/>
      <c r="B98" s="802"/>
      <c r="C98" s="746"/>
      <c r="D98" s="760"/>
      <c r="E98" s="804"/>
      <c r="F98" s="747"/>
      <c r="G98" s="775"/>
      <c r="H98" s="775"/>
      <c r="I98" s="775"/>
      <c r="J98" s="775"/>
      <c r="K98" s="775"/>
      <c r="L98" s="775"/>
      <c r="M98" s="775"/>
      <c r="N98" s="775"/>
      <c r="O98" s="775"/>
      <c r="P98" s="775"/>
      <c r="Q98" s="775"/>
      <c r="R98" s="775"/>
      <c r="S98" s="775"/>
      <c r="T98" s="774"/>
      <c r="U98" s="775"/>
      <c r="V98" s="775"/>
      <c r="W98" s="775"/>
      <c r="X98" s="774"/>
      <c r="Y98" s="775"/>
      <c r="Z98" s="775"/>
      <c r="AA98" s="774"/>
      <c r="AB98" s="774"/>
      <c r="AC98" s="775"/>
      <c r="AD98" s="774"/>
      <c r="AE98" s="774"/>
      <c r="AF98" s="774"/>
      <c r="AG98" s="775"/>
      <c r="AH98" s="774"/>
      <c r="AI98" s="774"/>
      <c r="AJ98" s="774"/>
      <c r="AK98" s="775"/>
      <c r="AL98" s="776">
        <f t="shared" si="4"/>
        <v>0</v>
      </c>
      <c r="AM98" s="777">
        <f t="shared" si="5"/>
        <v>0</v>
      </c>
      <c r="AN98" s="778">
        <f t="shared" si="5"/>
        <v>0</v>
      </c>
      <c r="AO98" s="779"/>
      <c r="AP98" s="778">
        <f t="shared" si="6"/>
        <v>0</v>
      </c>
    </row>
    <row r="99" spans="1:42" s="786" customFormat="1" ht="33">
      <c r="A99" s="761" t="s">
        <v>1451</v>
      </c>
      <c r="B99" s="762" t="s">
        <v>1435</v>
      </c>
      <c r="C99" s="772" t="s">
        <v>10</v>
      </c>
      <c r="D99" s="773">
        <v>32</v>
      </c>
      <c r="E99" s="804"/>
      <c r="F99" s="747">
        <f>D99*E99</f>
        <v>0</v>
      </c>
      <c r="G99" s="775"/>
      <c r="H99" s="775"/>
      <c r="I99" s="775"/>
      <c r="J99" s="775"/>
      <c r="K99" s="775"/>
      <c r="L99" s="775"/>
      <c r="M99" s="775"/>
      <c r="N99" s="775"/>
      <c r="O99" s="775"/>
      <c r="P99" s="775"/>
      <c r="Q99" s="775"/>
      <c r="R99" s="775"/>
      <c r="S99" s="775"/>
      <c r="T99" s="774"/>
      <c r="U99" s="775"/>
      <c r="V99" s="775"/>
      <c r="W99" s="775"/>
      <c r="X99" s="774"/>
      <c r="Y99" s="775"/>
      <c r="Z99" s="775"/>
      <c r="AA99" s="774"/>
      <c r="AB99" s="774"/>
      <c r="AC99" s="775"/>
      <c r="AD99" s="774"/>
      <c r="AE99" s="774"/>
      <c r="AF99" s="774"/>
      <c r="AG99" s="775"/>
      <c r="AH99" s="774"/>
      <c r="AI99" s="774"/>
      <c r="AJ99" s="774"/>
      <c r="AK99" s="775"/>
      <c r="AL99" s="776">
        <f t="shared" si="4"/>
        <v>0</v>
      </c>
      <c r="AM99" s="777">
        <f t="shared" si="5"/>
        <v>0</v>
      </c>
      <c r="AN99" s="778">
        <f t="shared" si="5"/>
        <v>0</v>
      </c>
      <c r="AO99" s="779"/>
      <c r="AP99" s="778">
        <f t="shared" si="6"/>
        <v>0</v>
      </c>
    </row>
    <row r="100" spans="1:42" s="786" customFormat="1" ht="12.75" customHeight="1">
      <c r="A100" s="758"/>
      <c r="B100" s="753"/>
      <c r="C100" s="746"/>
      <c r="D100" s="736"/>
      <c r="E100" s="737"/>
      <c r="F100" s="747"/>
      <c r="G100" s="775"/>
      <c r="H100" s="775"/>
      <c r="I100" s="775"/>
      <c r="J100" s="775"/>
      <c r="K100" s="775"/>
      <c r="L100" s="775"/>
      <c r="M100" s="775"/>
      <c r="N100" s="775"/>
      <c r="O100" s="775"/>
      <c r="P100" s="775"/>
      <c r="Q100" s="775"/>
      <c r="R100" s="775"/>
      <c r="S100" s="775"/>
      <c r="T100" s="774"/>
      <c r="U100" s="775"/>
      <c r="V100" s="775"/>
      <c r="W100" s="775"/>
      <c r="X100" s="774"/>
      <c r="Y100" s="775"/>
      <c r="Z100" s="775"/>
      <c r="AA100" s="774"/>
      <c r="AB100" s="774"/>
      <c r="AC100" s="775"/>
      <c r="AD100" s="774"/>
      <c r="AE100" s="774"/>
      <c r="AF100" s="774"/>
      <c r="AG100" s="775"/>
      <c r="AH100" s="774"/>
      <c r="AI100" s="774"/>
      <c r="AJ100" s="774"/>
      <c r="AK100" s="775"/>
      <c r="AL100" s="776">
        <f t="shared" si="4"/>
        <v>0</v>
      </c>
      <c r="AM100" s="777">
        <f t="shared" si="5"/>
        <v>0</v>
      </c>
      <c r="AN100" s="778">
        <f t="shared" si="5"/>
        <v>0</v>
      </c>
      <c r="AO100" s="779"/>
      <c r="AP100" s="778">
        <f t="shared" si="6"/>
        <v>0</v>
      </c>
    </row>
    <row r="101" spans="1:42" s="786" customFormat="1" ht="15.5">
      <c r="A101" s="739"/>
      <c r="B101" s="802" t="s">
        <v>334</v>
      </c>
      <c r="C101" s="746"/>
      <c r="D101" s="736"/>
      <c r="E101" s="737"/>
      <c r="F101" s="747"/>
      <c r="G101" s="775"/>
      <c r="H101" s="775"/>
      <c r="I101" s="775"/>
      <c r="J101" s="775"/>
      <c r="K101" s="775"/>
      <c r="L101" s="775"/>
      <c r="M101" s="775"/>
      <c r="N101" s="775"/>
      <c r="O101" s="775"/>
      <c r="P101" s="775"/>
      <c r="Q101" s="775"/>
      <c r="R101" s="775"/>
      <c r="S101" s="775"/>
      <c r="T101" s="774"/>
      <c r="U101" s="775"/>
      <c r="V101" s="775"/>
      <c r="W101" s="775"/>
      <c r="X101" s="774"/>
      <c r="Y101" s="775"/>
      <c r="Z101" s="775"/>
      <c r="AA101" s="774"/>
      <c r="AB101" s="774"/>
      <c r="AC101" s="775"/>
      <c r="AD101" s="774"/>
      <c r="AE101" s="774"/>
      <c r="AF101" s="774"/>
      <c r="AG101" s="775"/>
      <c r="AH101" s="774"/>
      <c r="AI101" s="774"/>
      <c r="AJ101" s="774"/>
      <c r="AK101" s="775"/>
      <c r="AL101" s="776">
        <f t="shared" si="4"/>
        <v>0</v>
      </c>
      <c r="AM101" s="777">
        <f t="shared" si="5"/>
        <v>0</v>
      </c>
      <c r="AN101" s="778">
        <f t="shared" si="5"/>
        <v>0</v>
      </c>
      <c r="AO101" s="779"/>
      <c r="AP101" s="778">
        <f t="shared" si="6"/>
        <v>0</v>
      </c>
    </row>
    <row r="102" spans="1:42" s="786" customFormat="1" ht="12.75" customHeight="1">
      <c r="A102" s="739"/>
      <c r="B102" s="759"/>
      <c r="C102" s="746"/>
      <c r="D102" s="760"/>
      <c r="E102" s="737"/>
      <c r="F102" s="747"/>
      <c r="G102" s="775"/>
      <c r="H102" s="775"/>
      <c r="I102" s="775"/>
      <c r="J102" s="775"/>
      <c r="K102" s="775"/>
      <c r="L102" s="775"/>
      <c r="M102" s="775"/>
      <c r="N102" s="775"/>
      <c r="O102" s="775"/>
      <c r="P102" s="775"/>
      <c r="Q102" s="775"/>
      <c r="R102" s="775"/>
      <c r="S102" s="775"/>
      <c r="T102" s="774"/>
      <c r="U102" s="775"/>
      <c r="V102" s="775"/>
      <c r="W102" s="775"/>
      <c r="X102" s="774"/>
      <c r="Y102" s="775"/>
      <c r="Z102" s="775"/>
      <c r="AA102" s="774"/>
      <c r="AB102" s="774"/>
      <c r="AC102" s="775"/>
      <c r="AD102" s="774"/>
      <c r="AE102" s="774"/>
      <c r="AF102" s="774"/>
      <c r="AG102" s="775"/>
      <c r="AH102" s="774"/>
      <c r="AI102" s="774"/>
      <c r="AJ102" s="774"/>
      <c r="AK102" s="775"/>
      <c r="AL102" s="776">
        <f t="shared" si="4"/>
        <v>0</v>
      </c>
      <c r="AM102" s="777">
        <f t="shared" si="5"/>
        <v>0</v>
      </c>
      <c r="AN102" s="778">
        <f t="shared" si="5"/>
        <v>0</v>
      </c>
      <c r="AO102" s="779"/>
      <c r="AP102" s="778">
        <f t="shared" si="6"/>
        <v>0</v>
      </c>
    </row>
    <row r="103" spans="1:42" s="786" customFormat="1" ht="31">
      <c r="A103" s="739" t="s">
        <v>1210</v>
      </c>
      <c r="B103" s="757" t="s">
        <v>1327</v>
      </c>
      <c r="C103" s="746" t="s">
        <v>10</v>
      </c>
      <c r="D103" s="736">
        <f>D99</f>
        <v>32</v>
      </c>
      <c r="E103" s="804"/>
      <c r="F103" s="747">
        <f>D103*E103</f>
        <v>0</v>
      </c>
      <c r="G103" s="775"/>
      <c r="H103" s="775"/>
      <c r="I103" s="775"/>
      <c r="J103" s="775"/>
      <c r="K103" s="775"/>
      <c r="L103" s="775"/>
      <c r="M103" s="775"/>
      <c r="N103" s="775"/>
      <c r="O103" s="775"/>
      <c r="P103" s="775"/>
      <c r="Q103" s="775"/>
      <c r="R103" s="775"/>
      <c r="S103" s="775"/>
      <c r="T103" s="774"/>
      <c r="U103" s="775"/>
      <c r="V103" s="775"/>
      <c r="W103" s="775"/>
      <c r="X103" s="774"/>
      <c r="Y103" s="775"/>
      <c r="Z103" s="775"/>
      <c r="AA103" s="774"/>
      <c r="AB103" s="774"/>
      <c r="AC103" s="775"/>
      <c r="AD103" s="774"/>
      <c r="AE103" s="774"/>
      <c r="AF103" s="774"/>
      <c r="AG103" s="775"/>
      <c r="AH103" s="774"/>
      <c r="AI103" s="774"/>
      <c r="AJ103" s="774"/>
      <c r="AK103" s="775"/>
      <c r="AL103" s="776">
        <f t="shared" si="4"/>
        <v>0</v>
      </c>
      <c r="AM103" s="777">
        <f t="shared" si="5"/>
        <v>0</v>
      </c>
      <c r="AN103" s="778">
        <f t="shared" si="5"/>
        <v>0</v>
      </c>
      <c r="AO103" s="779"/>
      <c r="AP103" s="778">
        <f t="shared" si="6"/>
        <v>0</v>
      </c>
    </row>
    <row r="104" spans="1:42" s="786" customFormat="1" ht="12.75" customHeight="1">
      <c r="A104" s="739"/>
      <c r="B104" s="757"/>
      <c r="C104" s="746"/>
      <c r="D104" s="736"/>
      <c r="E104" s="804"/>
      <c r="F104" s="747"/>
      <c r="G104" s="775"/>
      <c r="H104" s="775"/>
      <c r="I104" s="775"/>
      <c r="J104" s="775"/>
      <c r="K104" s="775"/>
      <c r="L104" s="775"/>
      <c r="M104" s="775"/>
      <c r="N104" s="775"/>
      <c r="O104" s="775"/>
      <c r="P104" s="775"/>
      <c r="Q104" s="775"/>
      <c r="R104" s="775"/>
      <c r="S104" s="775"/>
      <c r="T104" s="774"/>
      <c r="U104" s="775"/>
      <c r="V104" s="775"/>
      <c r="W104" s="775"/>
      <c r="X104" s="774"/>
      <c r="Y104" s="775"/>
      <c r="Z104" s="775"/>
      <c r="AA104" s="774"/>
      <c r="AB104" s="774"/>
      <c r="AC104" s="775"/>
      <c r="AD104" s="774"/>
      <c r="AE104" s="774"/>
      <c r="AF104" s="774"/>
      <c r="AG104" s="775"/>
      <c r="AH104" s="774"/>
      <c r="AI104" s="774"/>
      <c r="AJ104" s="774"/>
      <c r="AK104" s="775"/>
      <c r="AL104" s="776">
        <f t="shared" si="4"/>
        <v>0</v>
      </c>
      <c r="AM104" s="777">
        <f t="shared" si="5"/>
        <v>0</v>
      </c>
      <c r="AN104" s="778">
        <f t="shared" si="5"/>
        <v>0</v>
      </c>
      <c r="AO104" s="779"/>
      <c r="AP104" s="778">
        <f t="shared" si="6"/>
        <v>0</v>
      </c>
    </row>
    <row r="105" spans="1:42" s="786" customFormat="1" ht="31">
      <c r="A105" s="739" t="s">
        <v>1450</v>
      </c>
      <c r="B105" s="805" t="s">
        <v>1328</v>
      </c>
      <c r="C105" s="746" t="s">
        <v>10</v>
      </c>
      <c r="D105" s="760">
        <f>D97</f>
        <v>7</v>
      </c>
      <c r="E105" s="804"/>
      <c r="F105" s="747">
        <f>D105*E105</f>
        <v>0</v>
      </c>
      <c r="G105" s="775"/>
      <c r="H105" s="775"/>
      <c r="I105" s="775"/>
      <c r="J105" s="775"/>
      <c r="K105" s="775"/>
      <c r="L105" s="775"/>
      <c r="M105" s="775"/>
      <c r="N105" s="775"/>
      <c r="O105" s="775"/>
      <c r="P105" s="775"/>
      <c r="Q105" s="775"/>
      <c r="R105" s="775"/>
      <c r="S105" s="775"/>
      <c r="T105" s="774"/>
      <c r="U105" s="775"/>
      <c r="V105" s="775"/>
      <c r="W105" s="775"/>
      <c r="X105" s="774"/>
      <c r="Y105" s="775"/>
      <c r="Z105" s="775"/>
      <c r="AA105" s="774"/>
      <c r="AB105" s="774"/>
      <c r="AC105" s="775"/>
      <c r="AD105" s="774"/>
      <c r="AE105" s="774"/>
      <c r="AF105" s="774"/>
      <c r="AG105" s="775"/>
      <c r="AH105" s="774"/>
      <c r="AI105" s="774"/>
      <c r="AJ105" s="774"/>
      <c r="AK105" s="775"/>
      <c r="AL105" s="776">
        <f t="shared" si="4"/>
        <v>0</v>
      </c>
      <c r="AM105" s="777">
        <f t="shared" si="5"/>
        <v>0</v>
      </c>
      <c r="AN105" s="778">
        <f t="shared" si="5"/>
        <v>0</v>
      </c>
      <c r="AO105" s="779"/>
      <c r="AP105" s="778">
        <f t="shared" si="6"/>
        <v>0</v>
      </c>
    </row>
    <row r="106" spans="1:42" s="786" customFormat="1" ht="15.5">
      <c r="A106" s="880"/>
      <c r="B106" s="865"/>
      <c r="C106" s="864"/>
      <c r="D106" s="866"/>
      <c r="E106" s="866"/>
      <c r="F106" s="881"/>
      <c r="G106" s="775"/>
      <c r="H106" s="775"/>
      <c r="I106" s="775"/>
      <c r="J106" s="775"/>
      <c r="K106" s="775"/>
      <c r="L106" s="775"/>
      <c r="M106" s="775"/>
      <c r="N106" s="775"/>
      <c r="O106" s="775"/>
      <c r="P106" s="775"/>
      <c r="Q106" s="775"/>
      <c r="R106" s="775"/>
      <c r="S106" s="775"/>
      <c r="T106" s="774"/>
      <c r="U106" s="775"/>
      <c r="V106" s="775"/>
      <c r="W106" s="775"/>
      <c r="X106" s="774"/>
      <c r="Y106" s="775"/>
      <c r="Z106" s="775"/>
      <c r="AA106" s="774"/>
      <c r="AB106" s="774"/>
      <c r="AC106" s="775"/>
      <c r="AD106" s="774"/>
      <c r="AE106" s="774"/>
      <c r="AF106" s="774"/>
      <c r="AG106" s="775"/>
      <c r="AH106" s="774"/>
      <c r="AI106" s="774"/>
      <c r="AJ106" s="774"/>
      <c r="AK106" s="775"/>
      <c r="AL106" s="776"/>
      <c r="AM106" s="777"/>
      <c r="AN106" s="778"/>
      <c r="AO106" s="779"/>
      <c r="AP106" s="778"/>
    </row>
    <row r="107" spans="1:42" s="811" customFormat="1" ht="15.5">
      <c r="A107" s="859"/>
      <c r="B107" s="860" t="s">
        <v>1231</v>
      </c>
      <c r="C107" s="861"/>
      <c r="D107" s="862"/>
      <c r="E107" s="863"/>
      <c r="F107" s="882"/>
      <c r="G107" s="810"/>
      <c r="H107" s="810"/>
      <c r="I107" s="810"/>
      <c r="J107" s="810"/>
      <c r="K107" s="810"/>
      <c r="L107" s="810"/>
      <c r="M107" s="810"/>
      <c r="N107" s="810"/>
      <c r="O107" s="810"/>
      <c r="P107" s="810"/>
      <c r="Q107" s="810"/>
      <c r="R107" s="810"/>
      <c r="S107" s="810"/>
      <c r="T107" s="810"/>
      <c r="U107" s="810"/>
      <c r="V107" s="810"/>
      <c r="W107" s="810"/>
      <c r="X107" s="810"/>
      <c r="Y107" s="810"/>
      <c r="Z107" s="810"/>
      <c r="AA107" s="810"/>
      <c r="AB107" s="810"/>
      <c r="AC107" s="810"/>
      <c r="AD107" s="810"/>
      <c r="AE107" s="810"/>
      <c r="AF107" s="810"/>
      <c r="AG107" s="810"/>
      <c r="AH107" s="810"/>
      <c r="AI107" s="810"/>
      <c r="AJ107" s="810"/>
      <c r="AK107" s="810"/>
    </row>
    <row r="108" spans="1:42" s="811" customFormat="1" ht="12.75" customHeight="1">
      <c r="A108" s="733"/>
      <c r="B108" s="812"/>
      <c r="C108" s="772"/>
      <c r="D108" s="813"/>
      <c r="E108" s="814"/>
      <c r="F108" s="883"/>
      <c r="G108" s="810"/>
      <c r="H108" s="810"/>
      <c r="I108" s="810"/>
      <c r="J108" s="810"/>
      <c r="K108" s="810"/>
      <c r="L108" s="810"/>
      <c r="M108" s="810"/>
      <c r="N108" s="810"/>
      <c r="O108" s="810"/>
      <c r="P108" s="810"/>
      <c r="Q108" s="810"/>
      <c r="R108" s="810"/>
      <c r="S108" s="810"/>
      <c r="T108" s="810"/>
      <c r="U108" s="810"/>
      <c r="V108" s="810"/>
      <c r="W108" s="810"/>
      <c r="X108" s="810"/>
      <c r="Y108" s="810"/>
      <c r="Z108" s="810"/>
      <c r="AA108" s="810"/>
      <c r="AB108" s="810"/>
      <c r="AC108" s="810"/>
      <c r="AD108" s="810"/>
      <c r="AE108" s="810"/>
      <c r="AF108" s="810"/>
      <c r="AG108" s="810"/>
      <c r="AH108" s="810"/>
      <c r="AI108" s="810"/>
      <c r="AJ108" s="810"/>
      <c r="AK108" s="810"/>
    </row>
    <row r="109" spans="1:42" s="811" customFormat="1" ht="15.5">
      <c r="A109" s="739" t="s">
        <v>1229</v>
      </c>
      <c r="B109" s="762" t="s">
        <v>1329</v>
      </c>
      <c r="C109" s="772" t="s">
        <v>10</v>
      </c>
      <c r="D109" s="815">
        <v>5</v>
      </c>
      <c r="E109" s="814"/>
      <c r="F109" s="883">
        <f>D109*E109</f>
        <v>0</v>
      </c>
      <c r="G109" s="810"/>
      <c r="H109" s="810"/>
      <c r="I109" s="810"/>
      <c r="J109" s="810"/>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0"/>
    </row>
    <row r="110" spans="1:42" s="811" customFormat="1" ht="15.5">
      <c r="A110" s="739"/>
      <c r="B110" s="762"/>
      <c r="C110" s="772"/>
      <c r="D110" s="815"/>
      <c r="E110" s="814"/>
      <c r="F110" s="883">
        <f t="shared" ref="F110:F117" si="7">D110*E110</f>
        <v>0</v>
      </c>
      <c r="G110" s="810"/>
      <c r="H110" s="810"/>
      <c r="I110" s="810"/>
      <c r="J110" s="810"/>
      <c r="K110" s="810"/>
      <c r="L110" s="810"/>
      <c r="M110" s="810"/>
      <c r="N110" s="810"/>
      <c r="O110" s="810"/>
      <c r="P110" s="810"/>
      <c r="Q110" s="810"/>
      <c r="R110" s="810"/>
      <c r="S110" s="810"/>
      <c r="T110" s="810"/>
      <c r="U110" s="810"/>
      <c r="V110" s="810"/>
      <c r="W110" s="810"/>
      <c r="X110" s="810"/>
      <c r="Y110" s="810"/>
      <c r="Z110" s="810"/>
      <c r="AA110" s="810"/>
      <c r="AB110" s="810"/>
      <c r="AC110" s="810"/>
      <c r="AD110" s="810"/>
      <c r="AE110" s="810"/>
      <c r="AF110" s="810"/>
      <c r="AG110" s="810"/>
      <c r="AH110" s="810"/>
      <c r="AI110" s="810"/>
      <c r="AJ110" s="810"/>
      <c r="AK110" s="810"/>
    </row>
    <row r="111" spans="1:42" s="811" customFormat="1" ht="15.5">
      <c r="A111" s="739" t="s">
        <v>1228</v>
      </c>
      <c r="B111" s="762" t="s">
        <v>1330</v>
      </c>
      <c r="C111" s="772" t="s">
        <v>10</v>
      </c>
      <c r="D111" s="815">
        <v>4</v>
      </c>
      <c r="E111" s="814"/>
      <c r="F111" s="883">
        <f t="shared" si="7"/>
        <v>0</v>
      </c>
      <c r="G111" s="810"/>
      <c r="H111" s="810"/>
      <c r="I111" s="810"/>
      <c r="J111" s="810"/>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0"/>
    </row>
    <row r="112" spans="1:42" s="811" customFormat="1" ht="15.5">
      <c r="A112" s="739"/>
      <c r="B112" s="762"/>
      <c r="C112" s="772"/>
      <c r="D112" s="815"/>
      <c r="E112" s="814"/>
      <c r="F112" s="883">
        <f t="shared" si="7"/>
        <v>0</v>
      </c>
      <c r="G112" s="810"/>
      <c r="H112" s="810"/>
      <c r="I112" s="810"/>
      <c r="J112" s="810"/>
      <c r="K112" s="810"/>
      <c r="L112" s="810"/>
      <c r="M112" s="810"/>
      <c r="N112" s="810"/>
      <c r="O112" s="810"/>
      <c r="P112" s="810"/>
      <c r="Q112" s="810"/>
      <c r="R112" s="810"/>
      <c r="S112" s="810"/>
      <c r="T112" s="810"/>
      <c r="U112" s="810"/>
      <c r="V112" s="810"/>
      <c r="W112" s="810"/>
      <c r="X112" s="810"/>
      <c r="Y112" s="810"/>
      <c r="Z112" s="810"/>
      <c r="AA112" s="810"/>
      <c r="AB112" s="810"/>
      <c r="AC112" s="810"/>
      <c r="AD112" s="810"/>
      <c r="AE112" s="810"/>
      <c r="AF112" s="810"/>
      <c r="AG112" s="810"/>
      <c r="AH112" s="810"/>
      <c r="AI112" s="810"/>
      <c r="AJ112" s="810"/>
      <c r="AK112" s="810"/>
    </row>
    <row r="113" spans="1:37" s="811" customFormat="1" ht="15.5">
      <c r="A113" s="739" t="s">
        <v>1230</v>
      </c>
      <c r="B113" s="762" t="s">
        <v>1331</v>
      </c>
      <c r="C113" s="772" t="s">
        <v>10</v>
      </c>
      <c r="D113" s="815">
        <v>23</v>
      </c>
      <c r="E113" s="814"/>
      <c r="F113" s="883">
        <f t="shared" si="7"/>
        <v>0</v>
      </c>
      <c r="G113" s="810"/>
      <c r="H113" s="810"/>
      <c r="I113" s="810"/>
      <c r="J113" s="810"/>
      <c r="K113" s="810"/>
      <c r="L113" s="810"/>
      <c r="M113" s="810"/>
      <c r="N113" s="810"/>
      <c r="O113" s="810"/>
      <c r="P113" s="810"/>
      <c r="Q113" s="810"/>
      <c r="R113" s="810"/>
      <c r="S113" s="810"/>
      <c r="T113" s="810"/>
      <c r="U113" s="810"/>
      <c r="V113" s="810"/>
      <c r="W113" s="810"/>
      <c r="X113" s="810"/>
      <c r="Y113" s="810"/>
      <c r="Z113" s="810"/>
      <c r="AA113" s="810"/>
      <c r="AB113" s="810"/>
      <c r="AC113" s="810"/>
      <c r="AD113" s="810"/>
      <c r="AE113" s="810"/>
      <c r="AF113" s="810"/>
      <c r="AG113" s="810"/>
      <c r="AH113" s="810"/>
      <c r="AI113" s="810"/>
      <c r="AJ113" s="810"/>
      <c r="AK113" s="810"/>
    </row>
    <row r="114" spans="1:37" s="811" customFormat="1" ht="12.75" customHeight="1">
      <c r="A114" s="739"/>
      <c r="B114" s="762"/>
      <c r="C114" s="772"/>
      <c r="D114" s="815"/>
      <c r="E114" s="814"/>
      <c r="F114" s="883">
        <f t="shared" si="7"/>
        <v>0</v>
      </c>
      <c r="G114" s="810"/>
      <c r="H114" s="810"/>
      <c r="I114" s="810"/>
      <c r="J114" s="810"/>
      <c r="K114" s="810"/>
      <c r="L114" s="810"/>
      <c r="M114" s="810"/>
      <c r="N114" s="810"/>
      <c r="O114" s="810"/>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0"/>
      <c r="AK114" s="810"/>
    </row>
    <row r="115" spans="1:37" s="811" customFormat="1" ht="15.5">
      <c r="A115" s="733"/>
      <c r="B115" s="812" t="s">
        <v>1209</v>
      </c>
      <c r="C115" s="772"/>
      <c r="D115" s="813"/>
      <c r="E115" s="814"/>
      <c r="F115" s="883">
        <f t="shared" si="7"/>
        <v>0</v>
      </c>
      <c r="G115" s="810"/>
      <c r="H115" s="810"/>
      <c r="I115" s="810"/>
      <c r="J115" s="810"/>
      <c r="K115" s="810"/>
      <c r="L115" s="810"/>
      <c r="M115" s="810"/>
      <c r="N115" s="810"/>
      <c r="O115" s="810"/>
      <c r="P115" s="810"/>
      <c r="Q115" s="810"/>
      <c r="R115" s="810"/>
      <c r="S115" s="810"/>
      <c r="T115" s="810"/>
      <c r="U115" s="810"/>
      <c r="V115" s="810"/>
      <c r="W115" s="810"/>
      <c r="X115" s="810"/>
      <c r="Y115" s="810"/>
      <c r="Z115" s="810"/>
      <c r="AA115" s="810"/>
      <c r="AB115" s="810"/>
      <c r="AC115" s="810"/>
      <c r="AD115" s="810"/>
      <c r="AE115" s="810"/>
      <c r="AF115" s="810"/>
      <c r="AG115" s="810"/>
      <c r="AH115" s="810"/>
      <c r="AI115" s="810"/>
      <c r="AJ115" s="810"/>
      <c r="AK115" s="810"/>
    </row>
    <row r="116" spans="1:37" s="811" customFormat="1" ht="12.75" customHeight="1">
      <c r="A116" s="733"/>
      <c r="B116" s="764"/>
      <c r="C116" s="772"/>
      <c r="D116" s="813"/>
      <c r="E116" s="814"/>
      <c r="F116" s="883">
        <f t="shared" si="7"/>
        <v>0</v>
      </c>
      <c r="G116" s="810"/>
      <c r="H116" s="810"/>
      <c r="I116" s="810"/>
      <c r="J116" s="810"/>
      <c r="K116" s="810"/>
      <c r="L116" s="810"/>
      <c r="M116" s="810"/>
      <c r="N116" s="810"/>
      <c r="O116" s="810"/>
      <c r="P116" s="810"/>
      <c r="Q116" s="810"/>
      <c r="R116" s="810"/>
      <c r="S116" s="810"/>
      <c r="T116" s="810"/>
      <c r="U116" s="810"/>
      <c r="V116" s="810"/>
      <c r="W116" s="810"/>
      <c r="X116" s="810"/>
      <c r="Y116" s="810"/>
      <c r="Z116" s="810"/>
      <c r="AA116" s="810"/>
      <c r="AB116" s="810"/>
      <c r="AC116" s="810"/>
      <c r="AD116" s="810"/>
      <c r="AE116" s="810"/>
      <c r="AF116" s="810"/>
      <c r="AG116" s="810"/>
      <c r="AH116" s="810"/>
      <c r="AI116" s="810"/>
      <c r="AJ116" s="810"/>
      <c r="AK116" s="810"/>
    </row>
    <row r="117" spans="1:37" s="811" customFormat="1" ht="15.5">
      <c r="A117" s="739" t="s">
        <v>1210</v>
      </c>
      <c r="B117" s="762" t="s">
        <v>1332</v>
      </c>
      <c r="C117" s="772" t="s">
        <v>1338</v>
      </c>
      <c r="D117" s="815">
        <v>7</v>
      </c>
      <c r="E117" s="814"/>
      <c r="F117" s="883">
        <f t="shared" si="7"/>
        <v>0</v>
      </c>
      <c r="G117" s="810"/>
      <c r="H117" s="810"/>
      <c r="I117" s="810"/>
      <c r="J117" s="810"/>
      <c r="K117" s="810"/>
      <c r="L117" s="810"/>
      <c r="M117" s="810"/>
      <c r="N117" s="810"/>
      <c r="O117" s="810"/>
      <c r="P117" s="810"/>
      <c r="Q117" s="810"/>
      <c r="R117" s="810"/>
      <c r="S117" s="810"/>
      <c r="T117" s="810"/>
      <c r="U117" s="810"/>
      <c r="V117" s="810"/>
      <c r="W117" s="810"/>
      <c r="X117" s="810"/>
      <c r="Y117" s="810"/>
      <c r="Z117" s="810"/>
      <c r="AA117" s="810"/>
      <c r="AB117" s="810"/>
      <c r="AC117" s="810"/>
      <c r="AD117" s="810"/>
      <c r="AE117" s="810"/>
      <c r="AF117" s="810"/>
      <c r="AG117" s="810"/>
      <c r="AH117" s="810"/>
      <c r="AI117" s="810"/>
      <c r="AJ117" s="810"/>
      <c r="AK117" s="810"/>
    </row>
    <row r="118" spans="1:37" s="811" customFormat="1" ht="12.75" customHeight="1">
      <c r="A118" s="733"/>
      <c r="B118" s="764"/>
      <c r="C118" s="772"/>
      <c r="D118" s="813"/>
      <c r="E118" s="814"/>
      <c r="F118" s="883"/>
      <c r="G118" s="810"/>
      <c r="H118" s="810"/>
      <c r="I118" s="810"/>
      <c r="J118" s="810"/>
      <c r="K118" s="810"/>
      <c r="L118" s="810"/>
      <c r="M118" s="810"/>
      <c r="N118" s="810"/>
      <c r="O118" s="810"/>
      <c r="P118" s="810"/>
      <c r="Q118" s="810"/>
      <c r="R118" s="810"/>
      <c r="S118" s="810"/>
      <c r="T118" s="810"/>
      <c r="U118" s="810"/>
      <c r="V118" s="810"/>
      <c r="W118" s="810"/>
      <c r="X118" s="810"/>
      <c r="Y118" s="810"/>
      <c r="Z118" s="810"/>
      <c r="AA118" s="810"/>
      <c r="AB118" s="810"/>
      <c r="AC118" s="810"/>
      <c r="AD118" s="810"/>
      <c r="AE118" s="810"/>
      <c r="AF118" s="810"/>
      <c r="AG118" s="810"/>
      <c r="AH118" s="810"/>
      <c r="AI118" s="810"/>
      <c r="AJ118" s="810"/>
      <c r="AK118" s="810"/>
    </row>
    <row r="119" spans="1:37" s="811" customFormat="1" ht="15.5">
      <c r="A119" s="739"/>
      <c r="B119" s="812" t="s">
        <v>1232</v>
      </c>
      <c r="C119" s="772"/>
      <c r="D119" s="815"/>
      <c r="E119" s="814"/>
      <c r="F119" s="883"/>
      <c r="G119" s="810"/>
      <c r="H119" s="810"/>
      <c r="I119" s="810"/>
      <c r="J119" s="810"/>
      <c r="K119" s="810"/>
      <c r="L119" s="810"/>
      <c r="M119" s="810"/>
      <c r="N119" s="810"/>
      <c r="O119" s="810"/>
      <c r="P119" s="810"/>
      <c r="Q119" s="810"/>
      <c r="R119" s="810"/>
      <c r="S119" s="810"/>
      <c r="T119" s="810"/>
      <c r="U119" s="810"/>
      <c r="V119" s="810"/>
      <c r="W119" s="810"/>
      <c r="X119" s="810"/>
      <c r="Y119" s="810"/>
      <c r="Z119" s="810"/>
      <c r="AA119" s="810"/>
      <c r="AB119" s="810"/>
      <c r="AC119" s="810"/>
      <c r="AD119" s="810"/>
      <c r="AE119" s="810"/>
      <c r="AF119" s="810"/>
      <c r="AG119" s="810"/>
      <c r="AH119" s="810"/>
      <c r="AI119" s="810"/>
      <c r="AJ119" s="810"/>
      <c r="AK119" s="810"/>
    </row>
    <row r="120" spans="1:37" s="811" customFormat="1" ht="12.75" customHeight="1">
      <c r="A120" s="739"/>
      <c r="B120" s="762"/>
      <c r="C120" s="772"/>
      <c r="D120" s="815"/>
      <c r="E120" s="814"/>
      <c r="F120" s="883"/>
      <c r="G120" s="810"/>
      <c r="H120" s="810"/>
      <c r="I120" s="810"/>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0"/>
    </row>
    <row r="121" spans="1:37" s="811" customFormat="1" ht="15.5">
      <c r="A121" s="739" t="s">
        <v>1233</v>
      </c>
      <c r="B121" s="762" t="s">
        <v>1333</v>
      </c>
      <c r="C121" s="772" t="s">
        <v>10</v>
      </c>
      <c r="D121" s="815">
        <v>3</v>
      </c>
      <c r="E121" s="814"/>
      <c r="F121" s="883">
        <f>D121*E121</f>
        <v>0</v>
      </c>
      <c r="G121" s="810"/>
      <c r="H121" s="810"/>
      <c r="I121" s="810"/>
      <c r="J121" s="810"/>
      <c r="K121" s="810"/>
      <c r="L121" s="810"/>
      <c r="M121" s="810"/>
      <c r="N121" s="810"/>
      <c r="O121" s="810"/>
      <c r="P121" s="810"/>
      <c r="Q121" s="810"/>
      <c r="R121" s="810"/>
      <c r="S121" s="810"/>
      <c r="T121" s="810"/>
      <c r="U121" s="810"/>
      <c r="V121" s="810"/>
      <c r="W121" s="810"/>
      <c r="X121" s="810"/>
      <c r="Y121" s="810"/>
      <c r="Z121" s="810"/>
      <c r="AA121" s="810"/>
      <c r="AB121" s="810"/>
      <c r="AC121" s="810"/>
      <c r="AD121" s="810"/>
      <c r="AE121" s="810"/>
      <c r="AF121" s="810"/>
      <c r="AG121" s="810"/>
      <c r="AH121" s="810"/>
      <c r="AI121" s="810"/>
      <c r="AJ121" s="810"/>
      <c r="AK121" s="810"/>
    </row>
    <row r="122" spans="1:37" s="811" customFormat="1" ht="12.75" customHeight="1">
      <c r="A122" s="739"/>
      <c r="B122" s="762"/>
      <c r="C122" s="772"/>
      <c r="D122" s="815"/>
      <c r="E122" s="814"/>
      <c r="F122" s="883">
        <f t="shared" ref="F122:F135" si="8">D122*E122</f>
        <v>0</v>
      </c>
      <c r="G122" s="810"/>
      <c r="H122" s="810"/>
      <c r="I122" s="810"/>
      <c r="J122" s="810"/>
      <c r="K122" s="810"/>
      <c r="L122" s="810"/>
      <c r="M122" s="810"/>
      <c r="N122" s="810"/>
      <c r="O122" s="810"/>
      <c r="P122" s="810"/>
      <c r="Q122" s="810"/>
      <c r="R122" s="810"/>
      <c r="S122" s="810"/>
      <c r="T122" s="810"/>
      <c r="U122" s="810"/>
      <c r="V122" s="810"/>
      <c r="W122" s="810"/>
      <c r="X122" s="810"/>
      <c r="Y122" s="810"/>
      <c r="Z122" s="810"/>
      <c r="AA122" s="810"/>
      <c r="AB122" s="810"/>
      <c r="AC122" s="810"/>
      <c r="AD122" s="810"/>
      <c r="AE122" s="810"/>
      <c r="AF122" s="810"/>
      <c r="AG122" s="810"/>
      <c r="AH122" s="810"/>
      <c r="AI122" s="810"/>
      <c r="AJ122" s="810"/>
      <c r="AK122" s="810"/>
    </row>
    <row r="123" spans="1:37" s="811" customFormat="1" ht="15.5">
      <c r="A123" s="733" t="s">
        <v>1211</v>
      </c>
      <c r="B123" s="764" t="s">
        <v>1212</v>
      </c>
      <c r="C123" s="772"/>
      <c r="D123" s="813"/>
      <c r="E123" s="814"/>
      <c r="F123" s="883">
        <f t="shared" si="8"/>
        <v>0</v>
      </c>
      <c r="G123" s="810"/>
      <c r="H123" s="810"/>
      <c r="I123" s="810"/>
      <c r="J123" s="810"/>
      <c r="K123" s="810"/>
      <c r="L123" s="810"/>
      <c r="M123" s="810"/>
      <c r="N123" s="810"/>
      <c r="O123" s="810"/>
      <c r="P123" s="810"/>
      <c r="Q123" s="810"/>
      <c r="R123" s="810"/>
      <c r="S123" s="810"/>
      <c r="T123" s="810"/>
      <c r="U123" s="810"/>
      <c r="V123" s="810"/>
      <c r="W123" s="810"/>
      <c r="X123" s="810"/>
      <c r="Y123" s="810"/>
      <c r="Z123" s="810"/>
      <c r="AA123" s="810"/>
      <c r="AB123" s="810"/>
      <c r="AC123" s="810"/>
      <c r="AD123" s="810"/>
      <c r="AE123" s="810"/>
      <c r="AF123" s="810"/>
      <c r="AG123" s="810"/>
      <c r="AH123" s="810"/>
      <c r="AI123" s="810"/>
      <c r="AJ123" s="810"/>
      <c r="AK123" s="810"/>
    </row>
    <row r="124" spans="1:37" s="811" customFormat="1" ht="12.75" customHeight="1">
      <c r="A124" s="739"/>
      <c r="B124" s="762"/>
      <c r="C124" s="772"/>
      <c r="D124" s="813"/>
      <c r="E124" s="814"/>
      <c r="F124" s="883">
        <f t="shared" si="8"/>
        <v>0</v>
      </c>
      <c r="G124" s="810"/>
      <c r="H124" s="810"/>
      <c r="I124" s="810"/>
      <c r="J124" s="810"/>
      <c r="K124" s="810"/>
      <c r="L124" s="810"/>
      <c r="M124" s="810"/>
      <c r="N124" s="810"/>
      <c r="O124" s="810"/>
      <c r="P124" s="810"/>
      <c r="Q124" s="810"/>
      <c r="R124" s="810"/>
      <c r="S124" s="810"/>
      <c r="T124" s="810"/>
      <c r="U124" s="810"/>
      <c r="V124" s="810"/>
      <c r="W124" s="810"/>
      <c r="X124" s="810"/>
      <c r="Y124" s="810"/>
      <c r="Z124" s="810"/>
      <c r="AA124" s="810"/>
      <c r="AB124" s="810"/>
      <c r="AC124" s="810"/>
      <c r="AD124" s="810"/>
      <c r="AE124" s="810"/>
      <c r="AF124" s="810"/>
      <c r="AG124" s="810"/>
      <c r="AH124" s="810"/>
      <c r="AI124" s="810"/>
      <c r="AJ124" s="810"/>
      <c r="AK124" s="810"/>
    </row>
    <row r="125" spans="1:37" s="811" customFormat="1" ht="15.5">
      <c r="A125" s="739"/>
      <c r="B125" s="764" t="s">
        <v>1213</v>
      </c>
      <c r="C125" s="772"/>
      <c r="D125" s="813"/>
      <c r="E125" s="814"/>
      <c r="F125" s="883">
        <f t="shared" si="8"/>
        <v>0</v>
      </c>
      <c r="G125" s="810"/>
      <c r="H125" s="810"/>
      <c r="I125" s="810"/>
      <c r="J125" s="810"/>
      <c r="K125" s="810"/>
      <c r="L125" s="810"/>
      <c r="M125" s="810"/>
      <c r="N125" s="810"/>
      <c r="O125" s="810"/>
      <c r="P125" s="810"/>
      <c r="Q125" s="810"/>
      <c r="R125" s="810"/>
      <c r="S125" s="810"/>
      <c r="T125" s="810"/>
      <c r="U125" s="810"/>
      <c r="V125" s="810"/>
      <c r="W125" s="810"/>
      <c r="X125" s="810"/>
      <c r="Y125" s="810"/>
      <c r="Z125" s="810"/>
      <c r="AA125" s="810"/>
      <c r="AB125" s="810"/>
      <c r="AC125" s="810"/>
      <c r="AD125" s="810"/>
      <c r="AE125" s="810"/>
      <c r="AF125" s="810"/>
      <c r="AG125" s="810"/>
      <c r="AH125" s="810"/>
      <c r="AI125" s="810"/>
      <c r="AJ125" s="810"/>
      <c r="AK125" s="810"/>
    </row>
    <row r="126" spans="1:37" s="811" customFormat="1" ht="12.75" customHeight="1">
      <c r="A126" s="739"/>
      <c r="B126" s="762"/>
      <c r="C126" s="772"/>
      <c r="D126" s="813"/>
      <c r="E126" s="814"/>
      <c r="F126" s="883">
        <f t="shared" si="8"/>
        <v>0</v>
      </c>
      <c r="G126" s="810"/>
      <c r="H126" s="810"/>
      <c r="I126" s="810"/>
      <c r="J126" s="810"/>
      <c r="K126" s="810"/>
      <c r="L126" s="810"/>
      <c r="M126" s="810"/>
      <c r="N126" s="810"/>
      <c r="O126" s="810"/>
      <c r="P126" s="810"/>
      <c r="Q126" s="810"/>
      <c r="R126" s="810"/>
      <c r="S126" s="810"/>
      <c r="T126" s="810"/>
      <c r="U126" s="810"/>
      <c r="V126" s="810"/>
      <c r="W126" s="810"/>
      <c r="X126" s="810"/>
      <c r="Y126" s="810"/>
      <c r="Z126" s="810"/>
      <c r="AA126" s="810"/>
      <c r="AB126" s="810"/>
      <c r="AC126" s="810"/>
      <c r="AD126" s="810"/>
      <c r="AE126" s="810"/>
      <c r="AF126" s="810"/>
      <c r="AG126" s="810"/>
      <c r="AH126" s="810"/>
      <c r="AI126" s="810"/>
      <c r="AJ126" s="810"/>
      <c r="AK126" s="810"/>
    </row>
    <row r="127" spans="1:37" s="811" customFormat="1" ht="15.5">
      <c r="A127" s="739" t="s">
        <v>1214</v>
      </c>
      <c r="B127" s="762" t="s">
        <v>1334</v>
      </c>
      <c r="C127" s="772" t="s">
        <v>10</v>
      </c>
      <c r="D127" s="815">
        <f>D121+D109+D111+D113+D117</f>
        <v>42</v>
      </c>
      <c r="E127" s="814"/>
      <c r="F127" s="883">
        <f t="shared" si="8"/>
        <v>0</v>
      </c>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row>
    <row r="128" spans="1:37" s="811" customFormat="1" ht="12.75" customHeight="1">
      <c r="A128" s="739"/>
      <c r="B128" s="762"/>
      <c r="C128" s="772"/>
      <c r="D128" s="815"/>
      <c r="E128" s="814"/>
      <c r="F128" s="883">
        <f t="shared" si="8"/>
        <v>0</v>
      </c>
      <c r="G128" s="810"/>
      <c r="H128" s="810"/>
      <c r="I128" s="810"/>
      <c r="J128" s="810"/>
      <c r="K128" s="810"/>
      <c r="L128" s="810"/>
      <c r="M128" s="810"/>
      <c r="N128" s="810"/>
      <c r="O128" s="810"/>
      <c r="P128" s="810"/>
      <c r="Q128" s="810"/>
      <c r="R128" s="810"/>
      <c r="S128" s="810"/>
      <c r="T128" s="810"/>
      <c r="U128" s="810"/>
      <c r="V128" s="810"/>
      <c r="W128" s="810"/>
      <c r="X128" s="810"/>
      <c r="Y128" s="810"/>
      <c r="Z128" s="810"/>
      <c r="AA128" s="810"/>
      <c r="AB128" s="810"/>
      <c r="AC128" s="810"/>
      <c r="AD128" s="810"/>
      <c r="AE128" s="810"/>
      <c r="AF128" s="810"/>
      <c r="AG128" s="810"/>
      <c r="AH128" s="810"/>
      <c r="AI128" s="810"/>
      <c r="AJ128" s="810"/>
      <c r="AK128" s="810"/>
    </row>
    <row r="129" spans="1:37" s="811" customFormat="1" ht="15.5">
      <c r="A129" s="733" t="s">
        <v>1215</v>
      </c>
      <c r="B129" s="764" t="s">
        <v>1216</v>
      </c>
      <c r="C129" s="772"/>
      <c r="D129" s="813"/>
      <c r="E129" s="814"/>
      <c r="F129" s="883">
        <f t="shared" si="8"/>
        <v>0</v>
      </c>
      <c r="G129" s="810"/>
      <c r="H129" s="810"/>
      <c r="I129" s="810"/>
      <c r="J129" s="810"/>
      <c r="K129" s="810"/>
      <c r="L129" s="810"/>
      <c r="M129" s="810"/>
      <c r="N129" s="810"/>
      <c r="O129" s="810"/>
      <c r="P129" s="810"/>
      <c r="Q129" s="810"/>
      <c r="R129" s="810"/>
      <c r="S129" s="810"/>
      <c r="T129" s="810"/>
      <c r="U129" s="810"/>
      <c r="V129" s="810"/>
      <c r="W129" s="810"/>
      <c r="X129" s="810"/>
      <c r="Y129" s="810"/>
      <c r="Z129" s="810"/>
      <c r="AA129" s="810"/>
      <c r="AB129" s="810"/>
      <c r="AC129" s="810"/>
      <c r="AD129" s="810"/>
      <c r="AE129" s="810"/>
      <c r="AF129" s="810"/>
      <c r="AG129" s="810"/>
      <c r="AH129" s="810"/>
      <c r="AI129" s="810"/>
      <c r="AJ129" s="810"/>
      <c r="AK129" s="810"/>
    </row>
    <row r="130" spans="1:37" s="811" customFormat="1" ht="12.75" customHeight="1">
      <c r="A130" s="739"/>
      <c r="B130" s="762"/>
      <c r="C130" s="772"/>
      <c r="D130" s="815"/>
      <c r="E130" s="814"/>
      <c r="F130" s="883">
        <f t="shared" si="8"/>
        <v>0</v>
      </c>
      <c r="G130" s="810"/>
      <c r="H130" s="810"/>
      <c r="I130" s="810"/>
      <c r="J130" s="810"/>
      <c r="K130" s="810"/>
      <c r="L130" s="810"/>
      <c r="M130" s="810"/>
      <c r="N130" s="810"/>
      <c r="O130" s="810"/>
      <c r="P130" s="810"/>
      <c r="Q130" s="810"/>
      <c r="R130" s="810"/>
      <c r="S130" s="810"/>
      <c r="T130" s="810"/>
      <c r="U130" s="810"/>
      <c r="V130" s="810"/>
      <c r="W130" s="810"/>
      <c r="X130" s="810"/>
      <c r="Y130" s="810"/>
      <c r="Z130" s="810"/>
      <c r="AA130" s="810"/>
      <c r="AB130" s="810"/>
      <c r="AC130" s="810"/>
      <c r="AD130" s="810"/>
      <c r="AE130" s="810"/>
      <c r="AF130" s="810"/>
      <c r="AG130" s="810"/>
      <c r="AH130" s="810"/>
      <c r="AI130" s="810"/>
      <c r="AJ130" s="810"/>
      <c r="AK130" s="810"/>
    </row>
    <row r="131" spans="1:37" s="811" customFormat="1" ht="15.5">
      <c r="A131" s="739" t="s">
        <v>1217</v>
      </c>
      <c r="B131" s="762" t="s">
        <v>1235</v>
      </c>
      <c r="C131" s="772" t="s">
        <v>10</v>
      </c>
      <c r="D131" s="815">
        <v>7</v>
      </c>
      <c r="E131" s="814"/>
      <c r="F131" s="883">
        <f t="shared" si="8"/>
        <v>0</v>
      </c>
      <c r="G131" s="810"/>
      <c r="H131" s="810"/>
      <c r="I131" s="810"/>
      <c r="J131" s="810"/>
      <c r="K131" s="810"/>
      <c r="L131" s="810"/>
      <c r="M131" s="810"/>
      <c r="N131" s="810"/>
      <c r="O131" s="810"/>
      <c r="P131" s="810"/>
      <c r="Q131" s="810"/>
      <c r="R131" s="810"/>
      <c r="S131" s="810"/>
      <c r="T131" s="810"/>
      <c r="U131" s="810"/>
      <c r="V131" s="810"/>
      <c r="W131" s="810"/>
      <c r="X131" s="810"/>
      <c r="Y131" s="810"/>
      <c r="Z131" s="810"/>
      <c r="AA131" s="810"/>
      <c r="AB131" s="810"/>
      <c r="AC131" s="810"/>
      <c r="AD131" s="810"/>
      <c r="AE131" s="810"/>
      <c r="AF131" s="810"/>
      <c r="AG131" s="810"/>
      <c r="AH131" s="810"/>
      <c r="AI131" s="810"/>
      <c r="AJ131" s="810"/>
      <c r="AK131" s="810"/>
    </row>
    <row r="132" spans="1:37" s="811" customFormat="1" ht="12.75" customHeight="1">
      <c r="A132" s="739"/>
      <c r="B132" s="762"/>
      <c r="C132" s="772"/>
      <c r="D132" s="815"/>
      <c r="E132" s="814"/>
      <c r="F132" s="883">
        <f t="shared" si="8"/>
        <v>0</v>
      </c>
      <c r="G132" s="810"/>
      <c r="H132" s="810"/>
      <c r="I132" s="810"/>
      <c r="J132" s="810"/>
      <c r="K132" s="810"/>
      <c r="L132" s="810"/>
      <c r="M132" s="810"/>
      <c r="N132" s="810"/>
      <c r="O132" s="810"/>
      <c r="P132" s="810"/>
      <c r="Q132" s="810"/>
      <c r="R132" s="810"/>
      <c r="S132" s="810"/>
      <c r="T132" s="810"/>
      <c r="U132" s="810"/>
      <c r="V132" s="810"/>
      <c r="W132" s="810"/>
      <c r="X132" s="810"/>
      <c r="Y132" s="810"/>
      <c r="Z132" s="810"/>
      <c r="AA132" s="810"/>
      <c r="AB132" s="810"/>
      <c r="AC132" s="810"/>
      <c r="AD132" s="810"/>
      <c r="AE132" s="810"/>
      <c r="AF132" s="810"/>
      <c r="AG132" s="810"/>
      <c r="AH132" s="810"/>
      <c r="AI132" s="810"/>
      <c r="AJ132" s="810"/>
      <c r="AK132" s="810"/>
    </row>
    <row r="133" spans="1:37" s="811" customFormat="1" ht="15.5">
      <c r="A133" s="739" t="s">
        <v>1218</v>
      </c>
      <c r="B133" s="762" t="s">
        <v>1334</v>
      </c>
      <c r="C133" s="772" t="s">
        <v>10</v>
      </c>
      <c r="D133" s="815">
        <v>15</v>
      </c>
      <c r="E133" s="814"/>
      <c r="F133" s="883">
        <f t="shared" si="8"/>
        <v>0</v>
      </c>
      <c r="G133" s="810"/>
      <c r="H133" s="810"/>
      <c r="I133" s="810"/>
      <c r="J133" s="810"/>
      <c r="K133" s="810"/>
      <c r="L133" s="810"/>
      <c r="M133" s="810"/>
      <c r="N133" s="810"/>
      <c r="O133" s="810"/>
      <c r="P133" s="810"/>
      <c r="Q133" s="810"/>
      <c r="R133" s="810"/>
      <c r="S133" s="810"/>
      <c r="T133" s="810"/>
      <c r="U133" s="810"/>
      <c r="V133" s="810"/>
      <c r="W133" s="810"/>
      <c r="X133" s="810"/>
      <c r="Y133" s="810"/>
      <c r="Z133" s="810"/>
      <c r="AA133" s="810"/>
      <c r="AB133" s="810"/>
      <c r="AC133" s="810"/>
      <c r="AD133" s="810"/>
      <c r="AE133" s="810"/>
      <c r="AF133" s="810"/>
      <c r="AG133" s="810"/>
      <c r="AH133" s="810"/>
      <c r="AI133" s="810"/>
      <c r="AJ133" s="810"/>
      <c r="AK133" s="810"/>
    </row>
    <row r="134" spans="1:37" s="811" customFormat="1" ht="12.75" customHeight="1">
      <c r="A134" s="739"/>
      <c r="B134" s="762"/>
      <c r="C134" s="772"/>
      <c r="D134" s="815"/>
      <c r="E134" s="814"/>
      <c r="F134" s="883">
        <f t="shared" si="8"/>
        <v>0</v>
      </c>
      <c r="G134" s="810"/>
      <c r="H134" s="810"/>
      <c r="I134" s="810"/>
      <c r="J134" s="810"/>
      <c r="K134" s="810"/>
      <c r="L134" s="810"/>
      <c r="M134" s="810"/>
      <c r="N134" s="810"/>
      <c r="O134" s="810"/>
      <c r="P134" s="810"/>
      <c r="Q134" s="810"/>
      <c r="R134" s="810"/>
      <c r="S134" s="810"/>
      <c r="T134" s="810"/>
      <c r="U134" s="810"/>
      <c r="V134" s="810"/>
      <c r="W134" s="810"/>
      <c r="X134" s="810"/>
      <c r="Y134" s="810"/>
      <c r="Z134" s="810"/>
      <c r="AA134" s="810"/>
      <c r="AB134" s="810"/>
      <c r="AC134" s="810"/>
      <c r="AD134" s="810"/>
      <c r="AE134" s="810"/>
      <c r="AF134" s="810"/>
      <c r="AG134" s="810"/>
      <c r="AH134" s="810"/>
      <c r="AI134" s="810"/>
      <c r="AJ134" s="810"/>
      <c r="AK134" s="810"/>
    </row>
    <row r="135" spans="1:37" s="811" customFormat="1" ht="12.75" customHeight="1">
      <c r="A135" s="739"/>
      <c r="B135" s="762"/>
      <c r="C135" s="772"/>
      <c r="D135" s="815"/>
      <c r="E135" s="814"/>
      <c r="F135" s="883">
        <f t="shared" si="8"/>
        <v>0</v>
      </c>
      <c r="G135" s="810"/>
      <c r="H135" s="810"/>
      <c r="I135" s="810"/>
      <c r="J135" s="810"/>
      <c r="K135" s="810"/>
      <c r="L135" s="810"/>
      <c r="M135" s="810"/>
      <c r="N135" s="810"/>
      <c r="O135" s="810"/>
      <c r="P135" s="810"/>
      <c r="Q135" s="810"/>
      <c r="R135" s="810"/>
      <c r="S135" s="810"/>
      <c r="T135" s="810"/>
      <c r="U135" s="810"/>
      <c r="V135" s="810"/>
      <c r="W135" s="810"/>
      <c r="X135" s="810"/>
      <c r="Y135" s="810"/>
      <c r="Z135" s="810"/>
      <c r="AA135" s="810"/>
      <c r="AB135" s="810"/>
      <c r="AC135" s="810"/>
      <c r="AD135" s="810"/>
      <c r="AE135" s="810"/>
      <c r="AF135" s="810"/>
      <c r="AG135" s="810"/>
      <c r="AH135" s="810"/>
      <c r="AI135" s="810"/>
      <c r="AJ135" s="810"/>
      <c r="AK135" s="810"/>
    </row>
    <row r="136" spans="1:37" s="811" customFormat="1" ht="12.75" customHeight="1">
      <c r="A136" s="739"/>
      <c r="B136" s="762"/>
      <c r="C136" s="772"/>
      <c r="D136" s="815"/>
      <c r="E136" s="814"/>
      <c r="F136" s="883"/>
      <c r="G136" s="810"/>
      <c r="H136" s="810"/>
      <c r="I136" s="810"/>
      <c r="J136" s="810"/>
      <c r="K136" s="810"/>
      <c r="L136" s="810"/>
      <c r="M136" s="810"/>
      <c r="N136" s="810"/>
      <c r="O136" s="810"/>
      <c r="P136" s="810"/>
      <c r="Q136" s="810"/>
      <c r="R136" s="810"/>
      <c r="S136" s="810"/>
      <c r="T136" s="810"/>
      <c r="U136" s="810"/>
      <c r="V136" s="810"/>
      <c r="W136" s="810"/>
      <c r="X136" s="810"/>
      <c r="Y136" s="810"/>
      <c r="Z136" s="810"/>
      <c r="AA136" s="810"/>
      <c r="AB136" s="810"/>
      <c r="AC136" s="810"/>
      <c r="AD136" s="810"/>
      <c r="AE136" s="810"/>
      <c r="AF136" s="810"/>
      <c r="AG136" s="810"/>
      <c r="AH136" s="810"/>
      <c r="AI136" s="810"/>
      <c r="AJ136" s="810"/>
      <c r="AK136" s="810"/>
    </row>
    <row r="137" spans="1:37" s="811" customFormat="1" ht="15.5">
      <c r="A137" s="739"/>
      <c r="B137" s="762"/>
      <c r="C137" s="772"/>
      <c r="D137" s="815"/>
      <c r="E137" s="814"/>
      <c r="F137" s="883"/>
      <c r="G137" s="810"/>
      <c r="H137" s="810"/>
      <c r="I137" s="810"/>
      <c r="J137" s="810"/>
      <c r="K137" s="810"/>
      <c r="L137" s="810"/>
      <c r="M137" s="810"/>
      <c r="N137" s="810"/>
      <c r="O137" s="810"/>
      <c r="P137" s="810"/>
      <c r="Q137" s="810"/>
      <c r="R137" s="810"/>
      <c r="S137" s="810"/>
      <c r="T137" s="810"/>
      <c r="U137" s="810"/>
      <c r="V137" s="810"/>
      <c r="W137" s="810"/>
      <c r="X137" s="810"/>
      <c r="Y137" s="810"/>
      <c r="Z137" s="810"/>
      <c r="AA137" s="810"/>
      <c r="AB137" s="810"/>
      <c r="AC137" s="810"/>
      <c r="AD137" s="810"/>
      <c r="AE137" s="810"/>
      <c r="AF137" s="810"/>
      <c r="AG137" s="810"/>
      <c r="AH137" s="810"/>
      <c r="AI137" s="810"/>
      <c r="AJ137" s="810"/>
      <c r="AK137" s="810"/>
    </row>
    <row r="138" spans="1:37" s="811" customFormat="1" ht="12.75" customHeight="1">
      <c r="A138" s="739"/>
      <c r="B138" s="762"/>
      <c r="C138" s="772"/>
      <c r="D138" s="815"/>
      <c r="E138" s="814"/>
      <c r="F138" s="883"/>
      <c r="G138" s="810"/>
      <c r="H138" s="810"/>
      <c r="I138" s="810"/>
      <c r="J138" s="810"/>
      <c r="K138" s="810"/>
      <c r="L138" s="810"/>
      <c r="M138" s="810"/>
      <c r="N138" s="810"/>
      <c r="O138" s="810"/>
      <c r="P138" s="810"/>
      <c r="Q138" s="810"/>
      <c r="R138" s="810"/>
      <c r="S138" s="810"/>
      <c r="T138" s="810"/>
      <c r="U138" s="810"/>
      <c r="V138" s="810"/>
      <c r="W138" s="810"/>
      <c r="X138" s="810"/>
      <c r="Y138" s="810"/>
      <c r="Z138" s="810"/>
      <c r="AA138" s="810"/>
      <c r="AB138" s="810"/>
      <c r="AC138" s="810"/>
      <c r="AD138" s="810"/>
      <c r="AE138" s="810"/>
      <c r="AF138" s="810"/>
      <c r="AG138" s="810"/>
      <c r="AH138" s="810"/>
      <c r="AI138" s="810"/>
      <c r="AJ138" s="810"/>
      <c r="AK138" s="810"/>
    </row>
    <row r="139" spans="1:37" s="811" customFormat="1" ht="15.5">
      <c r="A139" s="739"/>
      <c r="B139" s="762"/>
      <c r="C139" s="772"/>
      <c r="D139" s="815"/>
      <c r="E139" s="814"/>
      <c r="F139" s="883"/>
      <c r="G139" s="810"/>
      <c r="H139" s="810"/>
      <c r="I139" s="810"/>
      <c r="J139" s="810"/>
      <c r="K139" s="810"/>
      <c r="L139" s="810"/>
      <c r="M139" s="810"/>
      <c r="N139" s="810"/>
      <c r="O139" s="810"/>
      <c r="P139" s="810"/>
      <c r="Q139" s="810"/>
      <c r="R139" s="810"/>
      <c r="S139" s="810"/>
      <c r="T139" s="810"/>
      <c r="U139" s="810"/>
      <c r="V139" s="810"/>
      <c r="W139" s="810"/>
      <c r="X139" s="810"/>
      <c r="Y139" s="810"/>
      <c r="Z139" s="810"/>
      <c r="AA139" s="810"/>
      <c r="AB139" s="810"/>
      <c r="AC139" s="810"/>
      <c r="AD139" s="810"/>
      <c r="AE139" s="810"/>
      <c r="AF139" s="810"/>
      <c r="AG139" s="810"/>
      <c r="AH139" s="810"/>
      <c r="AI139" s="810"/>
      <c r="AJ139" s="810"/>
      <c r="AK139" s="810"/>
    </row>
    <row r="140" spans="1:37" s="811" customFormat="1" ht="12.75" customHeight="1">
      <c r="A140" s="739"/>
      <c r="B140" s="762"/>
      <c r="C140" s="772"/>
      <c r="D140" s="815"/>
      <c r="E140" s="814"/>
      <c r="F140" s="883"/>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row>
    <row r="141" spans="1:37" s="811" customFormat="1" ht="12.75" customHeight="1">
      <c r="A141" s="739"/>
      <c r="B141" s="812"/>
      <c r="C141" s="772"/>
      <c r="D141" s="815"/>
      <c r="E141" s="814"/>
      <c r="F141" s="883"/>
      <c r="G141" s="810"/>
      <c r="H141" s="810"/>
      <c r="I141" s="810"/>
      <c r="J141" s="810"/>
      <c r="K141" s="810"/>
      <c r="L141" s="810"/>
      <c r="M141" s="810"/>
      <c r="N141" s="810"/>
      <c r="O141" s="810"/>
      <c r="P141" s="810"/>
      <c r="Q141" s="810"/>
      <c r="R141" s="810"/>
      <c r="S141" s="810"/>
      <c r="T141" s="810"/>
      <c r="U141" s="810"/>
      <c r="V141" s="810"/>
      <c r="W141" s="810"/>
      <c r="X141" s="810"/>
      <c r="Y141" s="810"/>
      <c r="Z141" s="810"/>
      <c r="AA141" s="810"/>
      <c r="AB141" s="810"/>
      <c r="AC141" s="810"/>
      <c r="AD141" s="810"/>
      <c r="AE141" s="810"/>
      <c r="AF141" s="810"/>
      <c r="AG141" s="810"/>
      <c r="AH141" s="810"/>
      <c r="AI141" s="810"/>
      <c r="AJ141" s="810"/>
      <c r="AK141" s="810"/>
    </row>
    <row r="142" spans="1:37" s="811" customFormat="1" ht="12.75" customHeight="1">
      <c r="A142" s="739"/>
      <c r="B142" s="762"/>
      <c r="C142" s="772"/>
      <c r="D142" s="815"/>
      <c r="E142" s="814"/>
      <c r="F142" s="883"/>
      <c r="G142" s="810"/>
      <c r="H142" s="810"/>
      <c r="I142" s="810"/>
      <c r="J142" s="810"/>
      <c r="K142" s="810"/>
      <c r="L142" s="810"/>
      <c r="M142" s="810"/>
      <c r="N142" s="810"/>
      <c r="O142" s="810"/>
      <c r="P142" s="810"/>
      <c r="Q142" s="810"/>
      <c r="R142" s="810"/>
      <c r="S142" s="810"/>
      <c r="T142" s="810"/>
      <c r="U142" s="810"/>
      <c r="V142" s="810"/>
      <c r="W142" s="810"/>
      <c r="X142" s="810"/>
      <c r="Y142" s="810"/>
      <c r="Z142" s="810"/>
      <c r="AA142" s="810"/>
      <c r="AB142" s="810"/>
      <c r="AC142" s="810"/>
      <c r="AD142" s="810"/>
      <c r="AE142" s="810"/>
      <c r="AF142" s="810"/>
      <c r="AG142" s="810"/>
      <c r="AH142" s="810"/>
      <c r="AI142" s="810"/>
      <c r="AJ142" s="810"/>
      <c r="AK142" s="810"/>
    </row>
    <row r="143" spans="1:37" s="811" customFormat="1" ht="15.5">
      <c r="A143" s="739"/>
      <c r="B143" s="762"/>
      <c r="C143" s="772"/>
      <c r="D143" s="815"/>
      <c r="E143" s="814"/>
      <c r="F143" s="883"/>
      <c r="G143" s="810"/>
      <c r="H143" s="810"/>
      <c r="I143" s="810"/>
      <c r="J143" s="810"/>
      <c r="K143" s="810"/>
      <c r="L143" s="810"/>
      <c r="M143" s="810"/>
      <c r="N143" s="810"/>
      <c r="O143" s="810"/>
      <c r="P143" s="810"/>
      <c r="Q143" s="810"/>
      <c r="R143" s="810"/>
      <c r="S143" s="810"/>
      <c r="T143" s="810"/>
      <c r="U143" s="810"/>
      <c r="V143" s="810"/>
      <c r="W143" s="810"/>
      <c r="X143" s="810"/>
      <c r="Y143" s="810"/>
      <c r="Z143" s="810"/>
      <c r="AA143" s="810"/>
      <c r="AB143" s="810"/>
      <c r="AC143" s="810"/>
      <c r="AD143" s="810"/>
      <c r="AE143" s="810"/>
      <c r="AF143" s="810"/>
      <c r="AG143" s="810"/>
      <c r="AH143" s="810"/>
      <c r="AI143" s="810"/>
      <c r="AJ143" s="810"/>
      <c r="AK143" s="810"/>
    </row>
    <row r="144" spans="1:37" s="811" customFormat="1" ht="16" thickBot="1">
      <c r="A144" s="739"/>
      <c r="B144" s="762"/>
      <c r="C144" s="772"/>
      <c r="D144" s="815"/>
      <c r="E144" s="814"/>
      <c r="F144" s="883"/>
      <c r="G144" s="810"/>
      <c r="H144" s="810"/>
      <c r="I144" s="810"/>
      <c r="J144" s="810"/>
      <c r="K144" s="810"/>
      <c r="L144" s="810"/>
      <c r="M144" s="810"/>
      <c r="N144" s="810"/>
      <c r="O144" s="810"/>
      <c r="P144" s="810"/>
      <c r="Q144" s="810"/>
      <c r="R144" s="810"/>
      <c r="S144" s="810"/>
      <c r="T144" s="810"/>
      <c r="U144" s="810"/>
      <c r="V144" s="810"/>
      <c r="W144" s="810"/>
      <c r="X144" s="810"/>
      <c r="Y144" s="810"/>
      <c r="Z144" s="810"/>
      <c r="AA144" s="810"/>
      <c r="AB144" s="810"/>
      <c r="AC144" s="810"/>
      <c r="AD144" s="810"/>
      <c r="AE144" s="810"/>
      <c r="AF144" s="810"/>
      <c r="AG144" s="810"/>
      <c r="AH144" s="810"/>
      <c r="AI144" s="810"/>
      <c r="AJ144" s="810"/>
      <c r="AK144" s="810"/>
    </row>
    <row r="145" spans="1:37" s="811" customFormat="1" ht="16" thickTop="1">
      <c r="A145" s="781"/>
      <c r="B145" s="782"/>
      <c r="C145" s="783"/>
      <c r="D145" s="784"/>
      <c r="E145" s="785"/>
      <c r="F145" s="851"/>
      <c r="G145" s="810"/>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0"/>
      <c r="AD145" s="810"/>
      <c r="AE145" s="810"/>
      <c r="AF145" s="810"/>
      <c r="AG145" s="810"/>
      <c r="AH145" s="810"/>
      <c r="AI145" s="810"/>
      <c r="AJ145" s="810"/>
      <c r="AK145" s="810"/>
    </row>
    <row r="146" spans="1:37" s="811" customFormat="1" ht="15.5">
      <c r="A146" s="787"/>
      <c r="B146" s="788" t="s">
        <v>301</v>
      </c>
      <c r="C146" s="789"/>
      <c r="D146" s="790"/>
      <c r="E146" s="791"/>
      <c r="F146" s="852"/>
      <c r="G146" s="810"/>
      <c r="H146" s="810"/>
      <c r="I146" s="810"/>
      <c r="J146" s="810"/>
      <c r="K146" s="810"/>
      <c r="L146" s="810"/>
      <c r="M146" s="810"/>
      <c r="N146" s="810"/>
      <c r="O146" s="810"/>
      <c r="P146" s="810"/>
      <c r="Q146" s="810"/>
      <c r="R146" s="810"/>
      <c r="S146" s="810"/>
      <c r="T146" s="810"/>
      <c r="U146" s="810"/>
      <c r="V146" s="810"/>
      <c r="W146" s="810"/>
      <c r="X146" s="810"/>
      <c r="Y146" s="810"/>
      <c r="Z146" s="810"/>
      <c r="AA146" s="810"/>
      <c r="AB146" s="810"/>
      <c r="AC146" s="810"/>
      <c r="AD146" s="810"/>
      <c r="AE146" s="810"/>
      <c r="AF146" s="810"/>
      <c r="AG146" s="810"/>
      <c r="AH146" s="810"/>
      <c r="AI146" s="810"/>
      <c r="AJ146" s="810"/>
      <c r="AK146" s="810"/>
    </row>
    <row r="147" spans="1:37" s="811" customFormat="1" ht="12.75" customHeight="1" thickBot="1">
      <c r="A147" s="792"/>
      <c r="B147" s="793"/>
      <c r="C147" s="794"/>
      <c r="D147" s="795"/>
      <c r="E147" s="796"/>
      <c r="F147" s="853"/>
      <c r="G147" s="810"/>
      <c r="H147" s="810"/>
      <c r="I147" s="810"/>
      <c r="J147" s="810"/>
      <c r="K147" s="810"/>
      <c r="L147" s="810"/>
      <c r="M147" s="810"/>
      <c r="N147" s="810"/>
      <c r="O147" s="810"/>
      <c r="P147" s="810"/>
      <c r="Q147" s="810"/>
      <c r="R147" s="810"/>
      <c r="S147" s="810"/>
      <c r="T147" s="810"/>
      <c r="U147" s="810"/>
      <c r="V147" s="810"/>
      <c r="W147" s="810"/>
      <c r="X147" s="810"/>
      <c r="Y147" s="810"/>
      <c r="Z147" s="810"/>
      <c r="AA147" s="810"/>
      <c r="AB147" s="810"/>
      <c r="AC147" s="810"/>
      <c r="AD147" s="810"/>
      <c r="AE147" s="810"/>
      <c r="AF147" s="810"/>
      <c r="AG147" s="810"/>
      <c r="AH147" s="810"/>
      <c r="AI147" s="810"/>
      <c r="AJ147" s="810"/>
      <c r="AK147" s="810"/>
    </row>
    <row r="148" spans="1:37" s="811" customFormat="1" ht="12.75" customHeight="1" thickTop="1">
      <c r="A148" s="816"/>
      <c r="B148" s="817"/>
      <c r="C148" s="808"/>
      <c r="D148" s="818"/>
      <c r="E148" s="809"/>
      <c r="F148" s="884"/>
      <c r="G148" s="810"/>
      <c r="H148" s="810"/>
      <c r="I148" s="810"/>
      <c r="J148" s="810"/>
      <c r="K148" s="810"/>
      <c r="L148" s="810"/>
      <c r="M148" s="810"/>
      <c r="N148" s="810"/>
      <c r="O148" s="810"/>
      <c r="P148" s="810"/>
      <c r="Q148" s="810"/>
      <c r="R148" s="810"/>
      <c r="S148" s="810"/>
      <c r="T148" s="810"/>
      <c r="U148" s="810"/>
      <c r="V148" s="810"/>
      <c r="W148" s="810"/>
      <c r="X148" s="810"/>
      <c r="Y148" s="810"/>
      <c r="Z148" s="810"/>
      <c r="AA148" s="810"/>
      <c r="AB148" s="810"/>
      <c r="AC148" s="810"/>
      <c r="AD148" s="810"/>
      <c r="AE148" s="810"/>
      <c r="AF148" s="810"/>
      <c r="AG148" s="810"/>
      <c r="AH148" s="810"/>
      <c r="AI148" s="810"/>
      <c r="AJ148" s="810"/>
      <c r="AK148" s="810"/>
    </row>
    <row r="149" spans="1:37" s="820" customFormat="1" ht="15.5">
      <c r="A149" s="733" t="s">
        <v>1219</v>
      </c>
      <c r="B149" s="734" t="s">
        <v>926</v>
      </c>
      <c r="C149" s="746"/>
      <c r="D149" s="736"/>
      <c r="E149" s="737"/>
      <c r="F149" s="747"/>
      <c r="G149" s="819"/>
      <c r="H149" s="819"/>
      <c r="I149" s="819"/>
      <c r="J149" s="819"/>
      <c r="K149" s="819"/>
      <c r="L149" s="819"/>
      <c r="M149" s="819"/>
      <c r="N149" s="819"/>
      <c r="O149" s="819"/>
      <c r="P149" s="819"/>
      <c r="Q149" s="819"/>
      <c r="R149" s="819"/>
      <c r="S149" s="819"/>
      <c r="T149" s="819"/>
      <c r="U149" s="819"/>
      <c r="V149" s="819"/>
      <c r="W149" s="819"/>
      <c r="X149" s="819"/>
      <c r="Y149" s="819"/>
      <c r="Z149" s="819"/>
      <c r="AA149" s="819"/>
      <c r="AB149" s="819"/>
      <c r="AC149" s="819"/>
      <c r="AD149" s="819"/>
      <c r="AE149" s="819"/>
      <c r="AF149" s="819"/>
      <c r="AG149" s="819"/>
      <c r="AH149" s="819"/>
      <c r="AI149" s="819"/>
      <c r="AJ149" s="819"/>
      <c r="AK149" s="819"/>
    </row>
    <row r="150" spans="1:37" s="811" customFormat="1" ht="12.75" customHeight="1">
      <c r="A150" s="739"/>
      <c r="B150" s="762"/>
      <c r="C150" s="772"/>
      <c r="D150" s="815"/>
      <c r="E150" s="814"/>
      <c r="F150" s="883"/>
      <c r="G150" s="810"/>
      <c r="H150" s="810"/>
      <c r="I150" s="810"/>
      <c r="J150" s="810"/>
      <c r="K150" s="810"/>
      <c r="L150" s="810"/>
      <c r="M150" s="810"/>
      <c r="N150" s="810"/>
      <c r="O150" s="810"/>
      <c r="P150" s="810"/>
      <c r="Q150" s="810"/>
      <c r="R150" s="810"/>
      <c r="S150" s="810"/>
      <c r="T150" s="810"/>
      <c r="U150" s="810"/>
      <c r="V150" s="810"/>
      <c r="W150" s="810"/>
      <c r="X150" s="810"/>
      <c r="Y150" s="810"/>
      <c r="Z150" s="810"/>
      <c r="AA150" s="810"/>
      <c r="AB150" s="810"/>
      <c r="AC150" s="810"/>
      <c r="AD150" s="810"/>
      <c r="AE150" s="810"/>
      <c r="AF150" s="810"/>
      <c r="AG150" s="810"/>
      <c r="AH150" s="810"/>
      <c r="AI150" s="810"/>
      <c r="AJ150" s="810"/>
      <c r="AK150" s="810"/>
    </row>
    <row r="151" spans="1:37" s="820" customFormat="1" ht="15.5">
      <c r="A151" s="733" t="s">
        <v>1220</v>
      </c>
      <c r="B151" s="734" t="s">
        <v>1241</v>
      </c>
      <c r="C151" s="746"/>
      <c r="D151" s="736"/>
      <c r="E151" s="737"/>
      <c r="F151" s="747"/>
      <c r="G151" s="819"/>
      <c r="H151" s="819"/>
      <c r="I151" s="819"/>
      <c r="J151" s="819"/>
      <c r="K151" s="819"/>
      <c r="L151" s="819"/>
      <c r="M151" s="819"/>
      <c r="N151" s="819"/>
      <c r="O151" s="819"/>
      <c r="P151" s="819"/>
      <c r="Q151" s="819"/>
      <c r="R151" s="819"/>
      <c r="S151" s="819"/>
      <c r="T151" s="819"/>
      <c r="U151" s="819"/>
      <c r="V151" s="819"/>
      <c r="W151" s="819"/>
      <c r="X151" s="819"/>
      <c r="Y151" s="819"/>
      <c r="Z151" s="819"/>
      <c r="AA151" s="819"/>
      <c r="AB151" s="819"/>
      <c r="AC151" s="819"/>
      <c r="AD151" s="819"/>
      <c r="AE151" s="819"/>
      <c r="AF151" s="819"/>
      <c r="AG151" s="819"/>
      <c r="AH151" s="819"/>
      <c r="AI151" s="819"/>
      <c r="AJ151" s="819"/>
      <c r="AK151" s="819"/>
    </row>
    <row r="152" spans="1:37" s="820" customFormat="1" ht="62">
      <c r="A152" s="733"/>
      <c r="B152" s="821" t="s">
        <v>1242</v>
      </c>
      <c r="C152" s="746"/>
      <c r="D152" s="736"/>
      <c r="E152" s="737"/>
      <c r="F152" s="747"/>
      <c r="G152" s="819"/>
      <c r="H152" s="819"/>
      <c r="I152" s="819"/>
      <c r="J152" s="819"/>
      <c r="K152" s="819"/>
      <c r="L152" s="819"/>
      <c r="M152" s="819"/>
      <c r="N152" s="819"/>
      <c r="O152" s="819"/>
      <c r="P152" s="819"/>
      <c r="Q152" s="819"/>
      <c r="R152" s="819"/>
      <c r="S152" s="819"/>
      <c r="T152" s="819"/>
      <c r="U152" s="819"/>
      <c r="V152" s="819"/>
      <c r="W152" s="819"/>
      <c r="X152" s="819"/>
      <c r="Y152" s="819"/>
      <c r="Z152" s="819"/>
      <c r="AA152" s="819"/>
      <c r="AB152" s="819"/>
      <c r="AC152" s="819"/>
      <c r="AD152" s="819"/>
      <c r="AE152" s="819"/>
      <c r="AF152" s="819"/>
      <c r="AG152" s="819"/>
      <c r="AH152" s="819"/>
      <c r="AI152" s="819"/>
      <c r="AJ152" s="819"/>
      <c r="AK152" s="819"/>
    </row>
    <row r="153" spans="1:37" s="811" customFormat="1" ht="12.75" customHeight="1">
      <c r="A153" s="739"/>
      <c r="B153" s="762"/>
      <c r="C153" s="772"/>
      <c r="D153" s="815"/>
      <c r="E153" s="814"/>
      <c r="F153" s="883"/>
      <c r="G153" s="810"/>
      <c r="H153" s="810"/>
      <c r="I153" s="810"/>
      <c r="J153" s="810"/>
      <c r="K153" s="810"/>
      <c r="L153" s="810"/>
      <c r="M153" s="810"/>
      <c r="N153" s="810"/>
      <c r="O153" s="810"/>
      <c r="P153" s="810"/>
      <c r="Q153" s="810"/>
      <c r="R153" s="810"/>
      <c r="S153" s="810"/>
      <c r="T153" s="810"/>
      <c r="U153" s="810"/>
      <c r="V153" s="810"/>
      <c r="W153" s="810"/>
      <c r="X153" s="810"/>
      <c r="Y153" s="810"/>
      <c r="Z153" s="810"/>
      <c r="AA153" s="810"/>
      <c r="AB153" s="810"/>
      <c r="AC153" s="810"/>
      <c r="AD153" s="810"/>
      <c r="AE153" s="810"/>
      <c r="AF153" s="810"/>
      <c r="AG153" s="810"/>
      <c r="AH153" s="810"/>
      <c r="AI153" s="810"/>
      <c r="AJ153" s="810"/>
      <c r="AK153" s="810"/>
    </row>
    <row r="154" spans="1:37" s="820" customFormat="1" ht="15.5">
      <c r="A154" s="739" t="s">
        <v>1221</v>
      </c>
      <c r="B154" s="748" t="s">
        <v>1246</v>
      </c>
      <c r="C154" s="746" t="s">
        <v>10</v>
      </c>
      <c r="D154" s="741">
        <v>23</v>
      </c>
      <c r="E154" s="737"/>
      <c r="F154" s="747">
        <f>D154*E154</f>
        <v>0</v>
      </c>
      <c r="G154" s="819"/>
      <c r="H154" s="819"/>
      <c r="I154" s="819"/>
      <c r="J154" s="819"/>
      <c r="K154" s="819"/>
      <c r="L154" s="819"/>
      <c r="M154" s="819"/>
      <c r="N154" s="819"/>
      <c r="O154" s="819"/>
      <c r="P154" s="819"/>
      <c r="Q154" s="819"/>
      <c r="R154" s="819"/>
      <c r="S154" s="819"/>
      <c r="T154" s="819"/>
      <c r="U154" s="819"/>
      <c r="V154" s="819"/>
      <c r="W154" s="819"/>
      <c r="X154" s="819"/>
      <c r="Y154" s="819"/>
      <c r="Z154" s="819"/>
      <c r="AA154" s="819"/>
      <c r="AB154" s="819"/>
      <c r="AC154" s="819"/>
      <c r="AD154" s="819"/>
      <c r="AE154" s="819"/>
      <c r="AF154" s="819"/>
      <c r="AG154" s="819"/>
      <c r="AH154" s="819"/>
      <c r="AI154" s="819"/>
      <c r="AJ154" s="819"/>
      <c r="AK154" s="819"/>
    </row>
    <row r="155" spans="1:37" s="820" customFormat="1" ht="15.5">
      <c r="A155" s="739"/>
      <c r="B155" s="748"/>
      <c r="C155" s="746"/>
      <c r="D155" s="741"/>
      <c r="E155" s="737"/>
      <c r="F155" s="747">
        <f t="shared" ref="F155:F173" si="9">D155*E155</f>
        <v>0</v>
      </c>
      <c r="G155" s="819"/>
      <c r="H155" s="819"/>
      <c r="I155" s="819"/>
      <c r="J155" s="819"/>
      <c r="K155" s="819"/>
      <c r="L155" s="819"/>
      <c r="M155" s="819"/>
      <c r="N155" s="819"/>
      <c r="O155" s="819"/>
      <c r="P155" s="819"/>
      <c r="Q155" s="819"/>
      <c r="R155" s="819"/>
      <c r="S155" s="819"/>
      <c r="T155" s="819"/>
      <c r="U155" s="819"/>
      <c r="V155" s="819"/>
      <c r="W155" s="819"/>
      <c r="X155" s="819"/>
      <c r="Y155" s="819"/>
      <c r="Z155" s="819"/>
      <c r="AA155" s="819"/>
      <c r="AB155" s="819"/>
      <c r="AC155" s="819"/>
      <c r="AD155" s="819"/>
      <c r="AE155" s="819"/>
      <c r="AF155" s="819"/>
      <c r="AG155" s="819"/>
      <c r="AH155" s="819"/>
      <c r="AI155" s="819"/>
      <c r="AJ155" s="819"/>
      <c r="AK155" s="819"/>
    </row>
    <row r="156" spans="1:37" s="820" customFormat="1" ht="15.5">
      <c r="A156" s="739" t="s">
        <v>1222</v>
      </c>
      <c r="B156" s="748" t="s">
        <v>1247</v>
      </c>
      <c r="C156" s="746" t="s">
        <v>10</v>
      </c>
      <c r="D156" s="741">
        <v>4</v>
      </c>
      <c r="E156" s="737"/>
      <c r="F156" s="747">
        <f t="shared" si="9"/>
        <v>0</v>
      </c>
      <c r="G156" s="819"/>
      <c r="H156" s="819"/>
      <c r="I156" s="819"/>
      <c r="J156" s="819"/>
      <c r="K156" s="819"/>
      <c r="L156" s="819"/>
      <c r="M156" s="819"/>
      <c r="N156" s="819"/>
      <c r="O156" s="819"/>
      <c r="P156" s="819"/>
      <c r="Q156" s="819"/>
      <c r="R156" s="819"/>
      <c r="S156" s="819"/>
      <c r="T156" s="819"/>
      <c r="U156" s="819"/>
      <c r="V156" s="819"/>
      <c r="W156" s="819"/>
      <c r="X156" s="819"/>
      <c r="Y156" s="819"/>
      <c r="Z156" s="819"/>
      <c r="AA156" s="819"/>
      <c r="AB156" s="819"/>
      <c r="AC156" s="819"/>
      <c r="AD156" s="819"/>
      <c r="AE156" s="819"/>
      <c r="AF156" s="819"/>
      <c r="AG156" s="819"/>
      <c r="AH156" s="819"/>
      <c r="AI156" s="819"/>
      <c r="AJ156" s="819"/>
      <c r="AK156" s="819"/>
    </row>
    <row r="157" spans="1:37" s="820" customFormat="1" ht="15.5">
      <c r="A157" s="739"/>
      <c r="B157" s="748"/>
      <c r="C157" s="746"/>
      <c r="D157" s="741"/>
      <c r="E157" s="737"/>
      <c r="F157" s="747">
        <f t="shared" si="9"/>
        <v>0</v>
      </c>
      <c r="G157" s="819"/>
      <c r="H157" s="819"/>
      <c r="I157" s="819"/>
      <c r="J157" s="819"/>
      <c r="K157" s="819"/>
      <c r="L157" s="819"/>
      <c r="M157" s="819"/>
      <c r="N157" s="819"/>
      <c r="O157" s="819"/>
      <c r="P157" s="819"/>
      <c r="Q157" s="819"/>
      <c r="R157" s="819"/>
      <c r="S157" s="819"/>
      <c r="T157" s="819"/>
      <c r="U157" s="819"/>
      <c r="V157" s="819"/>
      <c r="W157" s="819"/>
      <c r="X157" s="819"/>
      <c r="Y157" s="819"/>
      <c r="Z157" s="819"/>
      <c r="AA157" s="819"/>
      <c r="AB157" s="819"/>
      <c r="AC157" s="819"/>
      <c r="AD157" s="819"/>
      <c r="AE157" s="819"/>
      <c r="AF157" s="819"/>
      <c r="AG157" s="819"/>
      <c r="AH157" s="819"/>
      <c r="AI157" s="819"/>
      <c r="AJ157" s="819"/>
      <c r="AK157" s="819"/>
    </row>
    <row r="158" spans="1:37" s="820" customFormat="1" ht="15.5">
      <c r="A158" s="739" t="s">
        <v>1244</v>
      </c>
      <c r="B158" s="748" t="s">
        <v>1248</v>
      </c>
      <c r="C158" s="746" t="s">
        <v>10</v>
      </c>
      <c r="D158" s="741">
        <v>5</v>
      </c>
      <c r="E158" s="737"/>
      <c r="F158" s="747">
        <f t="shared" si="9"/>
        <v>0</v>
      </c>
      <c r="G158" s="819"/>
      <c r="H158" s="819"/>
      <c r="I158" s="819"/>
      <c r="J158" s="819"/>
      <c r="K158" s="819"/>
      <c r="L158" s="819"/>
      <c r="M158" s="819"/>
      <c r="N158" s="819"/>
      <c r="O158" s="819"/>
      <c r="P158" s="819"/>
      <c r="Q158" s="819"/>
      <c r="R158" s="819"/>
      <c r="S158" s="819"/>
      <c r="T158" s="819"/>
      <c r="U158" s="819"/>
      <c r="V158" s="819"/>
      <c r="W158" s="819"/>
      <c r="X158" s="819"/>
      <c r="Y158" s="819"/>
      <c r="Z158" s="819"/>
      <c r="AA158" s="819"/>
      <c r="AB158" s="819"/>
      <c r="AC158" s="819"/>
      <c r="AD158" s="819"/>
      <c r="AE158" s="819"/>
      <c r="AF158" s="819"/>
      <c r="AG158" s="819"/>
      <c r="AH158" s="819"/>
      <c r="AI158" s="819"/>
      <c r="AJ158" s="819"/>
      <c r="AK158" s="819"/>
    </row>
    <row r="159" spans="1:37" s="811" customFormat="1" ht="12.75" customHeight="1">
      <c r="A159" s="739"/>
      <c r="B159" s="762"/>
      <c r="C159" s="772"/>
      <c r="D159" s="815"/>
      <c r="E159" s="814"/>
      <c r="F159" s="747">
        <f t="shared" si="9"/>
        <v>0</v>
      </c>
      <c r="G159" s="810"/>
      <c r="H159" s="810"/>
      <c r="I159" s="810"/>
      <c r="J159" s="810"/>
      <c r="K159" s="810"/>
      <c r="L159" s="810"/>
      <c r="M159" s="810"/>
      <c r="N159" s="810"/>
      <c r="O159" s="810"/>
      <c r="P159" s="810"/>
      <c r="Q159" s="810"/>
      <c r="R159" s="810"/>
      <c r="S159" s="810"/>
      <c r="T159" s="810"/>
      <c r="U159" s="810"/>
      <c r="V159" s="810"/>
      <c r="W159" s="810"/>
      <c r="X159" s="810"/>
      <c r="Y159" s="810"/>
      <c r="Z159" s="810"/>
      <c r="AA159" s="810"/>
      <c r="AB159" s="810"/>
      <c r="AC159" s="810"/>
      <c r="AD159" s="810"/>
      <c r="AE159" s="810"/>
      <c r="AF159" s="810"/>
      <c r="AG159" s="810"/>
      <c r="AH159" s="810"/>
      <c r="AI159" s="810"/>
      <c r="AJ159" s="810"/>
      <c r="AK159" s="810"/>
    </row>
    <row r="160" spans="1:37" s="820" customFormat="1" ht="31">
      <c r="A160" s="739" t="s">
        <v>1245</v>
      </c>
      <c r="B160" s="748" t="s">
        <v>1243</v>
      </c>
      <c r="C160" s="746" t="s">
        <v>10</v>
      </c>
      <c r="D160" s="741">
        <v>7</v>
      </c>
      <c r="E160" s="737"/>
      <c r="F160" s="747">
        <f t="shared" si="9"/>
        <v>0</v>
      </c>
      <c r="G160" s="819"/>
      <c r="H160" s="819"/>
      <c r="I160" s="819"/>
      <c r="J160" s="819"/>
      <c r="K160" s="819"/>
      <c r="L160" s="819"/>
      <c r="M160" s="819"/>
      <c r="N160" s="819"/>
      <c r="O160" s="819"/>
      <c r="P160" s="819"/>
      <c r="Q160" s="819"/>
      <c r="R160" s="819"/>
      <c r="S160" s="819"/>
      <c r="T160" s="819"/>
      <c r="U160" s="819"/>
      <c r="V160" s="819"/>
      <c r="W160" s="819"/>
      <c r="X160" s="819"/>
      <c r="Y160" s="819"/>
      <c r="Z160" s="819"/>
      <c r="AA160" s="819"/>
      <c r="AB160" s="819"/>
      <c r="AC160" s="819"/>
      <c r="AD160" s="819"/>
      <c r="AE160" s="819"/>
      <c r="AF160" s="819"/>
      <c r="AG160" s="819"/>
      <c r="AH160" s="819"/>
      <c r="AI160" s="819"/>
      <c r="AJ160" s="819"/>
      <c r="AK160" s="819"/>
    </row>
    <row r="161" spans="1:45" s="811" customFormat="1" ht="12.75" customHeight="1">
      <c r="A161" s="739"/>
      <c r="B161" s="762"/>
      <c r="C161" s="772"/>
      <c r="D161" s="815"/>
      <c r="E161" s="814"/>
      <c r="F161" s="747">
        <f t="shared" si="9"/>
        <v>0</v>
      </c>
      <c r="G161" s="810"/>
      <c r="H161" s="810"/>
      <c r="I161" s="810"/>
      <c r="J161" s="810"/>
      <c r="K161" s="810"/>
      <c r="L161" s="810"/>
      <c r="M161" s="810"/>
      <c r="N161" s="810"/>
      <c r="O161" s="810"/>
      <c r="P161" s="810"/>
      <c r="Q161" s="810"/>
      <c r="R161" s="810"/>
      <c r="S161" s="810"/>
      <c r="T161" s="810"/>
      <c r="U161" s="810"/>
      <c r="V161" s="810"/>
      <c r="W161" s="810"/>
      <c r="X161" s="810"/>
      <c r="Y161" s="810"/>
      <c r="Z161" s="810"/>
      <c r="AA161" s="810"/>
      <c r="AB161" s="810"/>
      <c r="AC161" s="810"/>
      <c r="AD161" s="810"/>
      <c r="AE161" s="810"/>
      <c r="AF161" s="810"/>
      <c r="AG161" s="810"/>
      <c r="AH161" s="810"/>
      <c r="AI161" s="810"/>
      <c r="AJ161" s="810"/>
      <c r="AK161" s="810"/>
    </row>
    <row r="162" spans="1:45" s="820" customFormat="1" ht="31">
      <c r="A162" s="739" t="s">
        <v>1223</v>
      </c>
      <c r="B162" s="748" t="s">
        <v>1340</v>
      </c>
      <c r="C162" s="746" t="s">
        <v>10</v>
      </c>
      <c r="D162" s="741">
        <v>2</v>
      </c>
      <c r="E162" s="737"/>
      <c r="F162" s="747">
        <f t="shared" si="9"/>
        <v>0</v>
      </c>
      <c r="G162" s="819"/>
      <c r="H162" s="819"/>
      <c r="I162" s="819"/>
      <c r="J162" s="819"/>
      <c r="K162" s="819"/>
      <c r="L162" s="819"/>
      <c r="M162" s="819"/>
      <c r="N162" s="819"/>
      <c r="O162" s="819"/>
      <c r="P162" s="819"/>
      <c r="Q162" s="819"/>
      <c r="R162" s="819"/>
      <c r="S162" s="819"/>
      <c r="T162" s="819"/>
      <c r="U162" s="819"/>
      <c r="V162" s="819"/>
      <c r="W162" s="819"/>
      <c r="X162" s="819"/>
      <c r="Y162" s="819"/>
      <c r="Z162" s="819"/>
      <c r="AA162" s="819"/>
      <c r="AB162" s="819"/>
      <c r="AC162" s="819"/>
      <c r="AD162" s="819"/>
      <c r="AE162" s="819"/>
      <c r="AF162" s="819"/>
      <c r="AG162" s="819"/>
      <c r="AH162" s="819"/>
      <c r="AI162" s="819"/>
      <c r="AJ162" s="819"/>
      <c r="AK162" s="819"/>
    </row>
    <row r="163" spans="1:45" s="811" customFormat="1" ht="12.75" customHeight="1">
      <c r="A163" s="739"/>
      <c r="B163" s="762"/>
      <c r="C163" s="772"/>
      <c r="D163" s="815"/>
      <c r="E163" s="814"/>
      <c r="F163" s="747">
        <f t="shared" si="9"/>
        <v>0</v>
      </c>
      <c r="G163" s="810"/>
      <c r="H163" s="810"/>
      <c r="I163" s="810"/>
      <c r="J163" s="810"/>
      <c r="K163" s="810"/>
      <c r="L163" s="810"/>
      <c r="M163" s="810"/>
      <c r="N163" s="810"/>
      <c r="O163" s="810"/>
      <c r="P163" s="810"/>
      <c r="Q163" s="810"/>
      <c r="R163" s="810"/>
      <c r="S163" s="810"/>
      <c r="T163" s="810"/>
      <c r="U163" s="810"/>
      <c r="V163" s="810"/>
      <c r="W163" s="810"/>
      <c r="X163" s="810"/>
      <c r="Y163" s="810"/>
      <c r="Z163" s="810"/>
      <c r="AA163" s="810"/>
      <c r="AB163" s="810"/>
      <c r="AC163" s="810"/>
      <c r="AD163" s="810"/>
      <c r="AE163" s="810"/>
      <c r="AF163" s="810"/>
      <c r="AG163" s="810"/>
      <c r="AH163" s="810"/>
      <c r="AI163" s="810"/>
      <c r="AJ163" s="810"/>
      <c r="AK163" s="810"/>
    </row>
    <row r="164" spans="1:45" s="820" customFormat="1" ht="15.5">
      <c r="A164" s="733" t="s">
        <v>1224</v>
      </c>
      <c r="B164" s="734" t="s">
        <v>1225</v>
      </c>
      <c r="C164" s="746"/>
      <c r="D164" s="736"/>
      <c r="E164" s="737"/>
      <c r="F164" s="747">
        <f t="shared" si="9"/>
        <v>0</v>
      </c>
      <c r="G164" s="819"/>
      <c r="H164" s="819"/>
      <c r="I164" s="819"/>
      <c r="J164" s="819"/>
      <c r="K164" s="819"/>
      <c r="L164" s="819"/>
      <c r="M164" s="819"/>
      <c r="N164" s="819"/>
      <c r="O164" s="819"/>
      <c r="P164" s="819"/>
      <c r="Q164" s="819"/>
      <c r="R164" s="819"/>
      <c r="S164" s="819"/>
      <c r="T164" s="819"/>
      <c r="U164" s="819"/>
      <c r="V164" s="819"/>
      <c r="W164" s="819"/>
      <c r="X164" s="819"/>
      <c r="Y164" s="819"/>
      <c r="Z164" s="819"/>
      <c r="AA164" s="819"/>
      <c r="AB164" s="819"/>
      <c r="AC164" s="819"/>
      <c r="AD164" s="819"/>
      <c r="AE164" s="819"/>
      <c r="AF164" s="819"/>
      <c r="AG164" s="819"/>
      <c r="AH164" s="819"/>
      <c r="AI164" s="819"/>
      <c r="AJ164" s="819"/>
      <c r="AK164" s="819"/>
    </row>
    <row r="165" spans="1:45" s="811" customFormat="1" ht="12.75" customHeight="1">
      <c r="A165" s="739"/>
      <c r="B165" s="762"/>
      <c r="C165" s="772"/>
      <c r="D165" s="815"/>
      <c r="E165" s="814"/>
      <c r="F165" s="747">
        <f t="shared" si="9"/>
        <v>0</v>
      </c>
      <c r="G165" s="810"/>
      <c r="H165" s="810"/>
      <c r="I165" s="810"/>
      <c r="J165" s="810"/>
      <c r="K165" s="810"/>
      <c r="L165" s="810"/>
      <c r="M165" s="810"/>
      <c r="N165" s="810"/>
      <c r="O165" s="810"/>
      <c r="P165" s="810"/>
      <c r="Q165" s="810"/>
      <c r="R165" s="810"/>
      <c r="S165" s="810"/>
      <c r="T165" s="810"/>
      <c r="U165" s="810"/>
      <c r="V165" s="810"/>
      <c r="W165" s="810"/>
      <c r="X165" s="810"/>
      <c r="Y165" s="810"/>
      <c r="Z165" s="810"/>
      <c r="AA165" s="810"/>
      <c r="AB165" s="810"/>
      <c r="AC165" s="810"/>
      <c r="AD165" s="810"/>
      <c r="AE165" s="810"/>
      <c r="AF165" s="810"/>
      <c r="AG165" s="810"/>
      <c r="AH165" s="810"/>
      <c r="AI165" s="810"/>
      <c r="AJ165" s="810"/>
      <c r="AK165" s="810"/>
    </row>
    <row r="166" spans="1:45" s="820" customFormat="1" ht="124">
      <c r="A166" s="733" t="s">
        <v>1226</v>
      </c>
      <c r="B166" s="734" t="s">
        <v>1341</v>
      </c>
      <c r="C166" s="746"/>
      <c r="D166" s="736"/>
      <c r="E166" s="737"/>
      <c r="F166" s="747">
        <f t="shared" si="9"/>
        <v>0</v>
      </c>
      <c r="G166" s="819"/>
      <c r="H166" s="819"/>
      <c r="I166" s="819"/>
      <c r="J166" s="819"/>
      <c r="K166" s="819"/>
      <c r="L166" s="819"/>
      <c r="M166" s="819"/>
      <c r="N166" s="819"/>
      <c r="O166" s="819"/>
      <c r="P166" s="819"/>
      <c r="Q166" s="819"/>
      <c r="R166" s="819"/>
      <c r="S166" s="819"/>
      <c r="T166" s="819"/>
      <c r="U166" s="819"/>
      <c r="V166" s="819"/>
      <c r="W166" s="819"/>
      <c r="X166" s="819"/>
      <c r="Y166" s="819"/>
      <c r="Z166" s="819"/>
      <c r="AA166" s="819"/>
      <c r="AB166" s="819"/>
      <c r="AC166" s="819"/>
      <c r="AD166" s="819"/>
      <c r="AE166" s="819"/>
      <c r="AF166" s="819"/>
      <c r="AG166" s="819"/>
      <c r="AH166" s="819"/>
      <c r="AI166" s="819"/>
      <c r="AJ166" s="819"/>
      <c r="AK166" s="819"/>
    </row>
    <row r="167" spans="1:45" s="811" customFormat="1" ht="12.75" customHeight="1">
      <c r="A167" s="739"/>
      <c r="B167" s="762"/>
      <c r="C167" s="772"/>
      <c r="D167" s="815"/>
      <c r="E167" s="814"/>
      <c r="F167" s="747">
        <f t="shared" si="9"/>
        <v>0</v>
      </c>
      <c r="G167" s="810"/>
      <c r="H167" s="810"/>
      <c r="I167" s="810"/>
      <c r="J167" s="810"/>
      <c r="K167" s="810"/>
      <c r="L167" s="810"/>
      <c r="M167" s="810"/>
      <c r="N167" s="810"/>
      <c r="O167" s="810"/>
      <c r="P167" s="810"/>
      <c r="Q167" s="810"/>
      <c r="R167" s="810"/>
      <c r="S167" s="810"/>
      <c r="T167" s="810"/>
      <c r="U167" s="810"/>
      <c r="V167" s="810"/>
      <c r="W167" s="810"/>
      <c r="X167" s="810"/>
      <c r="Y167" s="810"/>
      <c r="Z167" s="810"/>
      <c r="AA167" s="810"/>
      <c r="AB167" s="810"/>
      <c r="AC167" s="810"/>
      <c r="AD167" s="810"/>
      <c r="AE167" s="810"/>
      <c r="AF167" s="810"/>
      <c r="AG167" s="810"/>
      <c r="AH167" s="810"/>
      <c r="AI167" s="810"/>
      <c r="AJ167" s="810"/>
      <c r="AK167" s="810"/>
    </row>
    <row r="168" spans="1:45" s="820" customFormat="1" ht="15.5">
      <c r="A168" s="739" t="s">
        <v>1227</v>
      </c>
      <c r="B168" s="748" t="s">
        <v>1238</v>
      </c>
      <c r="C168" s="746" t="s">
        <v>10</v>
      </c>
      <c r="D168" s="741">
        <v>23</v>
      </c>
      <c r="E168" s="737"/>
      <c r="F168" s="747">
        <f t="shared" si="9"/>
        <v>0</v>
      </c>
      <c r="G168" s="819"/>
      <c r="H168" s="819"/>
      <c r="I168" s="819"/>
      <c r="J168" s="819"/>
      <c r="K168" s="819"/>
      <c r="L168" s="819"/>
      <c r="M168" s="819"/>
      <c r="N168" s="819"/>
      <c r="O168" s="819"/>
      <c r="P168" s="819"/>
      <c r="Q168" s="819"/>
      <c r="R168" s="819"/>
      <c r="S168" s="819"/>
      <c r="T168" s="819"/>
      <c r="U168" s="819"/>
      <c r="V168" s="819"/>
      <c r="W168" s="819"/>
      <c r="X168" s="819"/>
      <c r="Y168" s="819"/>
      <c r="Z168" s="819"/>
      <c r="AA168" s="819"/>
      <c r="AB168" s="819"/>
      <c r="AC168" s="819"/>
      <c r="AD168" s="819"/>
      <c r="AE168" s="819"/>
      <c r="AF168" s="819"/>
      <c r="AG168" s="819"/>
      <c r="AH168" s="819"/>
      <c r="AI168" s="819"/>
      <c r="AJ168" s="819"/>
      <c r="AK168" s="819"/>
    </row>
    <row r="169" spans="1:45" s="820" customFormat="1" ht="15.5">
      <c r="A169" s="739"/>
      <c r="B169" s="748"/>
      <c r="C169" s="746"/>
      <c r="D169" s="741"/>
      <c r="E169" s="737"/>
      <c r="F169" s="747">
        <f t="shared" si="9"/>
        <v>0</v>
      </c>
      <c r="G169" s="819"/>
      <c r="H169" s="819"/>
      <c r="I169" s="819"/>
      <c r="J169" s="819"/>
      <c r="K169" s="819"/>
      <c r="L169" s="819"/>
      <c r="M169" s="819"/>
      <c r="N169" s="819"/>
      <c r="O169" s="819"/>
      <c r="P169" s="819"/>
      <c r="Q169" s="819"/>
      <c r="R169" s="819"/>
      <c r="S169" s="819"/>
      <c r="T169" s="819"/>
      <c r="U169" s="819"/>
      <c r="V169" s="819"/>
      <c r="W169" s="819"/>
      <c r="X169" s="819"/>
      <c r="Y169" s="819"/>
      <c r="Z169" s="819"/>
      <c r="AA169" s="819"/>
      <c r="AB169" s="819"/>
      <c r="AC169" s="819"/>
      <c r="AD169" s="819"/>
      <c r="AE169" s="819"/>
      <c r="AF169" s="819"/>
      <c r="AG169" s="819"/>
      <c r="AH169" s="819"/>
      <c r="AI169" s="819"/>
      <c r="AJ169" s="819"/>
      <c r="AK169" s="819"/>
    </row>
    <row r="170" spans="1:45" s="820" customFormat="1" ht="15.5">
      <c r="A170" s="739" t="s">
        <v>1236</v>
      </c>
      <c r="B170" s="748" t="s">
        <v>1239</v>
      </c>
      <c r="C170" s="746" t="s">
        <v>10</v>
      </c>
      <c r="D170" s="741">
        <v>4</v>
      </c>
      <c r="E170" s="737"/>
      <c r="F170" s="747">
        <f t="shared" si="9"/>
        <v>0</v>
      </c>
      <c r="G170" s="819"/>
      <c r="H170" s="819"/>
      <c r="I170" s="819"/>
      <c r="J170" s="819"/>
      <c r="K170" s="819"/>
      <c r="L170" s="819"/>
      <c r="M170" s="819"/>
      <c r="N170" s="819"/>
      <c r="O170" s="819"/>
      <c r="P170" s="819"/>
      <c r="Q170" s="819"/>
      <c r="R170" s="819"/>
      <c r="S170" s="819"/>
      <c r="T170" s="819"/>
      <c r="U170" s="819"/>
      <c r="V170" s="819"/>
      <c r="W170" s="819"/>
      <c r="X170" s="819"/>
      <c r="Y170" s="819"/>
      <c r="Z170" s="819"/>
      <c r="AA170" s="819"/>
      <c r="AB170" s="819"/>
      <c r="AC170" s="819"/>
      <c r="AD170" s="819"/>
      <c r="AE170" s="819"/>
      <c r="AF170" s="819"/>
      <c r="AG170" s="819"/>
      <c r="AH170" s="819"/>
      <c r="AI170" s="819"/>
      <c r="AJ170" s="819"/>
      <c r="AK170" s="819"/>
    </row>
    <row r="171" spans="1:45" s="820" customFormat="1" ht="15.5">
      <c r="A171" s="739"/>
      <c r="B171" s="748"/>
      <c r="C171" s="746"/>
      <c r="D171" s="741"/>
      <c r="E171" s="737"/>
      <c r="F171" s="747">
        <f>D171*E171</f>
        <v>0</v>
      </c>
      <c r="G171" s="819"/>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row>
    <row r="172" spans="1:45" s="820" customFormat="1" ht="15.5">
      <c r="A172" s="739" t="s">
        <v>1237</v>
      </c>
      <c r="B172" s="748" t="s">
        <v>1240</v>
      </c>
      <c r="C172" s="746" t="s">
        <v>10</v>
      </c>
      <c r="D172" s="741">
        <v>5</v>
      </c>
      <c r="E172" s="737"/>
      <c r="F172" s="747">
        <f t="shared" si="9"/>
        <v>0</v>
      </c>
      <c r="G172" s="819"/>
      <c r="H172" s="819"/>
      <c r="I172" s="819"/>
      <c r="J172" s="819"/>
      <c r="K172" s="819"/>
      <c r="L172" s="819"/>
      <c r="M172" s="819"/>
      <c r="N172" s="819"/>
      <c r="O172" s="819"/>
      <c r="P172" s="819"/>
      <c r="Q172" s="819"/>
      <c r="R172" s="819"/>
      <c r="S172" s="819"/>
      <c r="T172" s="819"/>
      <c r="U172" s="819"/>
      <c r="V172" s="819"/>
      <c r="W172" s="819"/>
      <c r="X172" s="819"/>
      <c r="Y172" s="819"/>
      <c r="Z172" s="819"/>
      <c r="AA172" s="819"/>
      <c r="AB172" s="819"/>
      <c r="AC172" s="819"/>
      <c r="AD172" s="819"/>
      <c r="AE172" s="819"/>
      <c r="AF172" s="819"/>
      <c r="AG172" s="819"/>
      <c r="AH172" s="819"/>
      <c r="AI172" s="819"/>
      <c r="AJ172" s="819"/>
      <c r="AK172" s="819"/>
    </row>
    <row r="173" spans="1:45" s="811" customFormat="1" ht="12.75" customHeight="1">
      <c r="A173" s="739"/>
      <c r="B173" s="762"/>
      <c r="C173" s="772"/>
      <c r="D173" s="815"/>
      <c r="E173" s="814"/>
      <c r="F173" s="747">
        <f t="shared" si="9"/>
        <v>0</v>
      </c>
      <c r="G173" s="810"/>
      <c r="H173" s="810"/>
      <c r="I173" s="810"/>
      <c r="J173" s="810"/>
      <c r="K173" s="810"/>
      <c r="L173" s="810"/>
      <c r="M173" s="810"/>
      <c r="N173" s="810"/>
      <c r="O173" s="810"/>
      <c r="P173" s="810"/>
      <c r="Q173" s="810"/>
      <c r="R173" s="810"/>
      <c r="S173" s="810"/>
      <c r="T173" s="810"/>
      <c r="U173" s="810"/>
      <c r="V173" s="810"/>
      <c r="W173" s="810"/>
      <c r="X173" s="810"/>
      <c r="Y173" s="810"/>
      <c r="Z173" s="810"/>
      <c r="AA173" s="810"/>
      <c r="AB173" s="810"/>
      <c r="AC173" s="810"/>
      <c r="AD173" s="810"/>
      <c r="AE173" s="810"/>
      <c r="AF173" s="810"/>
      <c r="AG173" s="810"/>
      <c r="AH173" s="810"/>
      <c r="AI173" s="810"/>
      <c r="AJ173" s="810"/>
      <c r="AK173" s="810"/>
    </row>
    <row r="174" spans="1:45" s="811" customFormat="1" ht="12.75" customHeight="1">
      <c r="A174" s="739"/>
      <c r="B174" s="762"/>
      <c r="C174" s="772"/>
      <c r="D174" s="815"/>
      <c r="E174" s="814"/>
      <c r="F174" s="883"/>
      <c r="G174" s="810"/>
      <c r="H174" s="810"/>
      <c r="I174" s="810"/>
      <c r="J174" s="810"/>
      <c r="K174" s="810"/>
      <c r="L174" s="810"/>
      <c r="M174" s="810"/>
      <c r="N174" s="810"/>
      <c r="O174" s="810"/>
      <c r="P174" s="810"/>
      <c r="Q174" s="810"/>
      <c r="R174" s="810"/>
      <c r="S174" s="810"/>
      <c r="T174" s="810"/>
      <c r="U174" s="810"/>
      <c r="V174" s="810"/>
      <c r="W174" s="810"/>
      <c r="X174" s="810"/>
      <c r="Y174" s="810"/>
      <c r="Z174" s="810"/>
      <c r="AA174" s="810"/>
      <c r="AB174" s="810"/>
      <c r="AC174" s="810"/>
      <c r="AD174" s="810"/>
      <c r="AE174" s="810"/>
      <c r="AF174" s="810"/>
      <c r="AG174" s="810"/>
      <c r="AH174" s="810"/>
      <c r="AI174" s="810"/>
      <c r="AJ174" s="810"/>
      <c r="AK174" s="810"/>
    </row>
    <row r="175" spans="1:45" s="820" customFormat="1" ht="15.5">
      <c r="A175" s="761"/>
      <c r="B175" s="764" t="s">
        <v>922</v>
      </c>
      <c r="C175" s="772"/>
      <c r="D175" s="773"/>
      <c r="E175" s="737"/>
      <c r="F175" s="747"/>
      <c r="G175" s="819"/>
      <c r="H175" s="819"/>
      <c r="I175" s="819"/>
      <c r="J175" s="819"/>
      <c r="K175" s="819"/>
      <c r="L175" s="819"/>
      <c r="M175" s="819"/>
      <c r="N175" s="819"/>
      <c r="O175" s="819"/>
      <c r="P175" s="819"/>
      <c r="Q175" s="819"/>
      <c r="R175" s="819"/>
      <c r="S175" s="819"/>
      <c r="T175" s="819"/>
      <c r="U175" s="819"/>
      <c r="V175" s="819"/>
      <c r="W175" s="819"/>
      <c r="X175" s="819"/>
      <c r="Y175" s="819"/>
      <c r="Z175" s="819"/>
      <c r="AA175" s="819"/>
      <c r="AB175" s="819"/>
      <c r="AC175" s="819"/>
      <c r="AD175" s="819"/>
      <c r="AE175" s="819"/>
      <c r="AF175" s="819"/>
      <c r="AG175" s="819"/>
      <c r="AH175" s="819"/>
      <c r="AI175" s="819"/>
      <c r="AJ175" s="819"/>
      <c r="AK175" s="819"/>
      <c r="AL175" s="819"/>
      <c r="AM175" s="819"/>
      <c r="AN175" s="819"/>
      <c r="AO175" s="819"/>
      <c r="AP175" s="819"/>
      <c r="AQ175" s="819"/>
      <c r="AR175" s="819"/>
      <c r="AS175" s="819"/>
    </row>
    <row r="176" spans="1:45" s="786" customFormat="1" ht="12.75" customHeight="1">
      <c r="A176" s="758"/>
      <c r="B176" s="753"/>
      <c r="C176" s="746"/>
      <c r="D176" s="736"/>
      <c r="E176" s="737"/>
      <c r="F176" s="747"/>
      <c r="G176" s="775"/>
      <c r="H176" s="775"/>
      <c r="I176" s="775"/>
      <c r="J176" s="775"/>
      <c r="K176" s="775"/>
      <c r="L176" s="775"/>
      <c r="M176" s="775"/>
      <c r="N176" s="775"/>
      <c r="O176" s="775"/>
      <c r="P176" s="775"/>
      <c r="Q176" s="775"/>
      <c r="R176" s="775"/>
      <c r="S176" s="775"/>
      <c r="T176" s="774"/>
      <c r="U176" s="775"/>
      <c r="V176" s="775"/>
      <c r="W176" s="775"/>
      <c r="X176" s="774"/>
      <c r="Y176" s="775"/>
      <c r="Z176" s="775"/>
      <c r="AA176" s="774"/>
      <c r="AB176" s="774"/>
      <c r="AC176" s="775"/>
      <c r="AD176" s="774"/>
      <c r="AE176" s="774"/>
      <c r="AF176" s="774"/>
      <c r="AG176" s="775"/>
      <c r="AH176" s="774"/>
      <c r="AI176" s="774"/>
      <c r="AJ176" s="774"/>
      <c r="AK176" s="775"/>
      <c r="AL176" s="774"/>
      <c r="AM176" s="774"/>
      <c r="AN176" s="774"/>
      <c r="AO176" s="806"/>
      <c r="AP176" s="774"/>
      <c r="AQ176" s="716"/>
      <c r="AR176" s="716"/>
      <c r="AS176" s="716"/>
    </row>
    <row r="177" spans="1:45" s="786" customFormat="1" ht="93">
      <c r="A177" s="739" t="s">
        <v>1287</v>
      </c>
      <c r="B177" s="805" t="s">
        <v>1342</v>
      </c>
      <c r="C177" s="772" t="s">
        <v>10</v>
      </c>
      <c r="D177" s="822">
        <v>2</v>
      </c>
      <c r="E177" s="814"/>
      <c r="F177" s="885"/>
      <c r="G177" s="775"/>
      <c r="H177" s="775"/>
      <c r="I177" s="775"/>
      <c r="J177" s="775"/>
      <c r="K177" s="775"/>
      <c r="L177" s="775"/>
      <c r="M177" s="775"/>
      <c r="N177" s="775"/>
      <c r="O177" s="775"/>
      <c r="P177" s="775"/>
      <c r="Q177" s="775"/>
      <c r="R177" s="775"/>
      <c r="S177" s="775"/>
      <c r="T177" s="774"/>
      <c r="U177" s="775"/>
      <c r="V177" s="775"/>
      <c r="W177" s="775"/>
      <c r="X177" s="774"/>
      <c r="Y177" s="775"/>
      <c r="Z177" s="775"/>
      <c r="AA177" s="774"/>
      <c r="AB177" s="774"/>
      <c r="AC177" s="775"/>
      <c r="AD177" s="774"/>
      <c r="AE177" s="774"/>
      <c r="AF177" s="774"/>
      <c r="AG177" s="775"/>
      <c r="AH177" s="774"/>
      <c r="AI177" s="774"/>
      <c r="AJ177" s="774"/>
      <c r="AK177" s="775"/>
      <c r="AL177" s="774"/>
      <c r="AM177" s="774"/>
      <c r="AN177" s="774"/>
      <c r="AO177" s="806"/>
      <c r="AP177" s="774"/>
      <c r="AQ177" s="716"/>
      <c r="AR177" s="716"/>
      <c r="AS177" s="716"/>
    </row>
    <row r="178" spans="1:45" s="786" customFormat="1" ht="12.75" customHeight="1">
      <c r="A178" s="739"/>
      <c r="B178" s="759"/>
      <c r="C178" s="746"/>
      <c r="D178" s="760"/>
      <c r="E178" s="737"/>
      <c r="F178" s="747"/>
      <c r="G178" s="775"/>
      <c r="H178" s="775"/>
      <c r="I178" s="775"/>
      <c r="J178" s="775"/>
      <c r="K178" s="775"/>
      <c r="L178" s="775"/>
      <c r="M178" s="775"/>
      <c r="N178" s="775"/>
      <c r="O178" s="775"/>
      <c r="P178" s="775"/>
      <c r="Q178" s="775"/>
      <c r="R178" s="775"/>
      <c r="S178" s="775"/>
      <c r="T178" s="774"/>
      <c r="U178" s="775"/>
      <c r="V178" s="775"/>
      <c r="W178" s="775"/>
      <c r="X178" s="774"/>
      <c r="Y178" s="775"/>
      <c r="Z178" s="775"/>
      <c r="AA178" s="774"/>
      <c r="AB178" s="774"/>
      <c r="AC178" s="775"/>
      <c r="AD178" s="774"/>
      <c r="AE178" s="774"/>
      <c r="AF178" s="774"/>
      <c r="AG178" s="775"/>
      <c r="AH178" s="774"/>
      <c r="AI178" s="774"/>
      <c r="AJ178" s="774"/>
      <c r="AK178" s="775"/>
      <c r="AL178" s="774"/>
      <c r="AM178" s="774"/>
      <c r="AN178" s="774"/>
      <c r="AO178" s="806"/>
      <c r="AP178" s="774"/>
      <c r="AQ178" s="716"/>
      <c r="AR178" s="716"/>
      <c r="AS178" s="716"/>
    </row>
    <row r="179" spans="1:45" s="786" customFormat="1" ht="12.75" customHeight="1">
      <c r="A179" s="739"/>
      <c r="B179" s="759"/>
      <c r="C179" s="746"/>
      <c r="D179" s="760"/>
      <c r="E179" s="737"/>
      <c r="F179" s="747"/>
      <c r="G179" s="775"/>
      <c r="H179" s="775"/>
      <c r="I179" s="775"/>
      <c r="J179" s="775"/>
      <c r="K179" s="775"/>
      <c r="L179" s="775"/>
      <c r="M179" s="775"/>
      <c r="N179" s="775"/>
      <c r="O179" s="775"/>
      <c r="P179" s="775"/>
      <c r="Q179" s="775"/>
      <c r="R179" s="775"/>
      <c r="S179" s="775"/>
      <c r="T179" s="774"/>
      <c r="U179" s="775"/>
      <c r="V179" s="775"/>
      <c r="W179" s="775"/>
      <c r="X179" s="774"/>
      <c r="Y179" s="775"/>
      <c r="Z179" s="775"/>
      <c r="AA179" s="774"/>
      <c r="AB179" s="774"/>
      <c r="AC179" s="775"/>
      <c r="AD179" s="774"/>
      <c r="AE179" s="774"/>
      <c r="AF179" s="774"/>
      <c r="AG179" s="775"/>
      <c r="AH179" s="774"/>
      <c r="AI179" s="774"/>
      <c r="AJ179" s="774"/>
      <c r="AK179" s="775"/>
      <c r="AL179" s="774"/>
      <c r="AM179" s="774"/>
      <c r="AN179" s="774"/>
      <c r="AO179" s="806"/>
      <c r="AP179" s="774"/>
      <c r="AQ179" s="716"/>
      <c r="AR179" s="716"/>
      <c r="AS179" s="716"/>
    </row>
    <row r="180" spans="1:45" s="786" customFormat="1" ht="12.75" customHeight="1">
      <c r="A180" s="739"/>
      <c r="B180" s="757"/>
      <c r="C180" s="746"/>
      <c r="D180" s="760"/>
      <c r="E180" s="737"/>
      <c r="F180" s="747"/>
      <c r="G180" s="775"/>
      <c r="H180" s="775"/>
      <c r="I180" s="775"/>
      <c r="J180" s="775"/>
      <c r="K180" s="775"/>
      <c r="L180" s="775"/>
      <c r="M180" s="775"/>
      <c r="N180" s="775"/>
      <c r="O180" s="775"/>
      <c r="P180" s="775"/>
      <c r="Q180" s="775"/>
      <c r="R180" s="775"/>
      <c r="S180" s="775"/>
      <c r="T180" s="774"/>
      <c r="U180" s="775"/>
      <c r="V180" s="775"/>
      <c r="W180" s="775"/>
      <c r="X180" s="774"/>
      <c r="Y180" s="775"/>
      <c r="Z180" s="775"/>
      <c r="AA180" s="774"/>
      <c r="AB180" s="774"/>
      <c r="AC180" s="775"/>
      <c r="AD180" s="774"/>
      <c r="AE180" s="774"/>
      <c r="AF180" s="774"/>
      <c r="AG180" s="775"/>
      <c r="AH180" s="774"/>
      <c r="AI180" s="774"/>
      <c r="AJ180" s="774"/>
      <c r="AK180" s="775"/>
      <c r="AL180" s="774"/>
      <c r="AM180" s="774"/>
      <c r="AN180" s="774"/>
      <c r="AO180" s="806"/>
      <c r="AP180" s="774"/>
      <c r="AQ180" s="716"/>
      <c r="AR180" s="716"/>
      <c r="AS180" s="716"/>
    </row>
    <row r="181" spans="1:45" s="786" customFormat="1" ht="12.75" customHeight="1">
      <c r="A181" s="763"/>
      <c r="B181" s="764"/>
      <c r="C181" s="746"/>
      <c r="D181" s="736"/>
      <c r="E181" s="737"/>
      <c r="F181" s="747"/>
      <c r="G181" s="775"/>
      <c r="H181" s="775"/>
      <c r="I181" s="775"/>
      <c r="J181" s="775"/>
      <c r="K181" s="775"/>
      <c r="L181" s="775"/>
      <c r="M181" s="775"/>
      <c r="N181" s="775"/>
      <c r="O181" s="775"/>
      <c r="P181" s="775"/>
      <c r="Q181" s="775"/>
      <c r="R181" s="775"/>
      <c r="S181" s="775"/>
      <c r="T181" s="774"/>
      <c r="U181" s="775"/>
      <c r="V181" s="775"/>
      <c r="W181" s="775"/>
      <c r="X181" s="774"/>
      <c r="Y181" s="775"/>
      <c r="Z181" s="775"/>
      <c r="AA181" s="774"/>
      <c r="AB181" s="774"/>
      <c r="AC181" s="775"/>
      <c r="AD181" s="774"/>
      <c r="AE181" s="774"/>
      <c r="AF181" s="774"/>
      <c r="AG181" s="775"/>
      <c r="AH181" s="774"/>
      <c r="AI181" s="774"/>
      <c r="AJ181" s="774"/>
      <c r="AK181" s="775"/>
      <c r="AL181" s="774"/>
      <c r="AM181" s="774"/>
      <c r="AN181" s="774"/>
      <c r="AO181" s="806"/>
      <c r="AP181" s="774"/>
      <c r="AQ181" s="716"/>
      <c r="AR181" s="716"/>
      <c r="AS181" s="716"/>
    </row>
    <row r="182" spans="1:45" s="786" customFormat="1" ht="12.75" customHeight="1">
      <c r="A182" s="763"/>
      <c r="B182" s="764"/>
      <c r="C182" s="746"/>
      <c r="D182" s="736"/>
      <c r="E182" s="737"/>
      <c r="F182" s="747"/>
      <c r="G182" s="775"/>
      <c r="H182" s="775"/>
      <c r="I182" s="775"/>
      <c r="J182" s="775"/>
      <c r="K182" s="775"/>
      <c r="L182" s="775"/>
      <c r="M182" s="775"/>
      <c r="N182" s="775"/>
      <c r="O182" s="775"/>
      <c r="P182" s="775"/>
      <c r="Q182" s="775"/>
      <c r="R182" s="775"/>
      <c r="S182" s="775"/>
      <c r="T182" s="774"/>
      <c r="U182" s="775"/>
      <c r="V182" s="775"/>
      <c r="W182" s="775"/>
      <c r="X182" s="774"/>
      <c r="Y182" s="775"/>
      <c r="Z182" s="775"/>
      <c r="AA182" s="774"/>
      <c r="AB182" s="774"/>
      <c r="AC182" s="775"/>
      <c r="AD182" s="774"/>
      <c r="AE182" s="774"/>
      <c r="AF182" s="774"/>
      <c r="AG182" s="775"/>
      <c r="AH182" s="774"/>
      <c r="AI182" s="774"/>
      <c r="AJ182" s="774"/>
      <c r="AK182" s="775"/>
      <c r="AL182" s="774"/>
      <c r="AM182" s="774"/>
      <c r="AN182" s="774"/>
      <c r="AO182" s="806"/>
      <c r="AP182" s="774"/>
      <c r="AQ182" s="716"/>
      <c r="AR182" s="716"/>
      <c r="AS182" s="716"/>
    </row>
    <row r="183" spans="1:45" s="786" customFormat="1" ht="12.75" customHeight="1" thickBot="1">
      <c r="A183" s="763"/>
      <c r="B183" s="764"/>
      <c r="C183" s="746"/>
      <c r="D183" s="736"/>
      <c r="E183" s="737"/>
      <c r="F183" s="747"/>
      <c r="G183" s="775"/>
      <c r="H183" s="775"/>
      <c r="I183" s="775"/>
      <c r="J183" s="775"/>
      <c r="K183" s="775"/>
      <c r="L183" s="775"/>
      <c r="M183" s="775"/>
      <c r="N183" s="775"/>
      <c r="O183" s="775"/>
      <c r="P183" s="775"/>
      <c r="Q183" s="775"/>
      <c r="R183" s="775"/>
      <c r="S183" s="775"/>
      <c r="T183" s="774"/>
      <c r="U183" s="775"/>
      <c r="V183" s="775"/>
      <c r="W183" s="775"/>
      <c r="X183" s="774"/>
      <c r="Y183" s="775"/>
      <c r="Z183" s="775"/>
      <c r="AA183" s="774"/>
      <c r="AB183" s="774"/>
      <c r="AC183" s="775"/>
      <c r="AD183" s="774"/>
      <c r="AE183" s="774"/>
      <c r="AF183" s="774"/>
      <c r="AG183" s="775"/>
      <c r="AH183" s="774"/>
      <c r="AI183" s="774"/>
      <c r="AJ183" s="774"/>
      <c r="AK183" s="775"/>
      <c r="AL183" s="774"/>
      <c r="AM183" s="774"/>
      <c r="AN183" s="774"/>
      <c r="AO183" s="806"/>
      <c r="AP183" s="774"/>
      <c r="AQ183" s="716"/>
      <c r="AR183" s="716"/>
      <c r="AS183" s="716"/>
    </row>
    <row r="184" spans="1:45" s="786" customFormat="1" ht="12.75" customHeight="1" thickTop="1">
      <c r="A184" s="781"/>
      <c r="B184" s="782"/>
      <c r="C184" s="783"/>
      <c r="D184" s="784"/>
      <c r="E184" s="785"/>
      <c r="F184" s="851"/>
      <c r="G184" s="716"/>
      <c r="H184" s="716"/>
      <c r="I184" s="716"/>
      <c r="J184" s="716"/>
      <c r="K184" s="716"/>
      <c r="L184" s="716"/>
      <c r="M184" s="716"/>
      <c r="N184" s="716"/>
      <c r="O184" s="716"/>
      <c r="P184" s="716"/>
      <c r="Q184" s="716"/>
      <c r="R184" s="716"/>
      <c r="S184" s="716"/>
      <c r="T184" s="716"/>
      <c r="U184" s="716"/>
      <c r="V184" s="716"/>
      <c r="W184" s="716"/>
      <c r="X184" s="716"/>
      <c r="Y184" s="716"/>
      <c r="Z184" s="716"/>
      <c r="AA184" s="716"/>
      <c r="AB184" s="716"/>
      <c r="AC184" s="716"/>
      <c r="AD184" s="716"/>
      <c r="AE184" s="716"/>
      <c r="AF184" s="716"/>
      <c r="AG184" s="716"/>
      <c r="AH184" s="716"/>
      <c r="AI184" s="716"/>
      <c r="AJ184" s="716"/>
      <c r="AK184" s="716"/>
      <c r="AL184" s="716"/>
      <c r="AM184" s="716"/>
      <c r="AN184" s="716"/>
      <c r="AO184" s="716"/>
      <c r="AP184" s="716"/>
      <c r="AQ184" s="716"/>
      <c r="AR184" s="716"/>
      <c r="AS184" s="716"/>
    </row>
    <row r="185" spans="1:45" s="786" customFormat="1" ht="15.5">
      <c r="A185" s="787"/>
      <c r="B185" s="788" t="s">
        <v>301</v>
      </c>
      <c r="C185" s="789"/>
      <c r="D185" s="790"/>
      <c r="E185" s="791"/>
      <c r="F185" s="852"/>
      <c r="G185" s="716"/>
      <c r="H185" s="716"/>
      <c r="I185" s="716"/>
      <c r="J185" s="716"/>
      <c r="K185" s="716"/>
      <c r="L185" s="716"/>
      <c r="M185" s="716"/>
      <c r="N185" s="716"/>
      <c r="O185" s="716"/>
      <c r="P185" s="716"/>
      <c r="Q185" s="716"/>
      <c r="R185" s="716"/>
      <c r="S185" s="716"/>
      <c r="T185" s="716"/>
      <c r="U185" s="716"/>
      <c r="V185" s="716"/>
      <c r="W185" s="716"/>
      <c r="X185" s="716"/>
      <c r="Y185" s="716"/>
      <c r="Z185" s="716"/>
      <c r="AA185" s="716"/>
      <c r="AB185" s="716"/>
      <c r="AC185" s="716"/>
      <c r="AD185" s="716"/>
      <c r="AE185" s="716"/>
      <c r="AF185" s="716"/>
      <c r="AG185" s="716"/>
      <c r="AH185" s="716"/>
      <c r="AI185" s="716"/>
      <c r="AJ185" s="716"/>
      <c r="AK185" s="716"/>
      <c r="AL185" s="716"/>
      <c r="AM185" s="716"/>
      <c r="AN185" s="716"/>
      <c r="AO185" s="716"/>
      <c r="AP185" s="716"/>
      <c r="AQ185" s="716"/>
      <c r="AR185" s="716"/>
      <c r="AS185" s="716"/>
    </row>
    <row r="186" spans="1:45" s="786" customFormat="1" ht="12.75" customHeight="1" thickBot="1">
      <c r="A186" s="792"/>
      <c r="B186" s="793"/>
      <c r="C186" s="794"/>
      <c r="D186" s="795"/>
      <c r="E186" s="796"/>
      <c r="F186" s="853"/>
      <c r="G186" s="716"/>
      <c r="H186" s="716"/>
      <c r="I186" s="716"/>
      <c r="J186" s="716"/>
      <c r="K186" s="716"/>
      <c r="L186" s="716"/>
      <c r="M186" s="716"/>
      <c r="N186" s="716"/>
      <c r="O186" s="716"/>
      <c r="P186" s="716"/>
      <c r="Q186" s="716"/>
      <c r="R186" s="716"/>
      <c r="S186" s="716"/>
      <c r="T186" s="716"/>
      <c r="U186" s="716"/>
      <c r="V186" s="716"/>
      <c r="W186" s="716"/>
      <c r="X186" s="716"/>
      <c r="Y186" s="716"/>
      <c r="Z186" s="716"/>
      <c r="AA186" s="716"/>
      <c r="AB186" s="716"/>
      <c r="AC186" s="716"/>
      <c r="AD186" s="716"/>
      <c r="AE186" s="716"/>
      <c r="AF186" s="716"/>
      <c r="AG186" s="716"/>
      <c r="AH186" s="716"/>
      <c r="AI186" s="716"/>
      <c r="AJ186" s="716"/>
      <c r="AK186" s="716"/>
      <c r="AL186" s="716"/>
      <c r="AM186" s="716"/>
      <c r="AN186" s="716"/>
      <c r="AO186" s="716"/>
      <c r="AP186" s="716"/>
      <c r="AQ186" s="716"/>
      <c r="AR186" s="716"/>
      <c r="AS186" s="716"/>
    </row>
    <row r="187" spans="1:45" ht="16" thickTop="1">
      <c r="A187" s="823"/>
      <c r="B187" s="824"/>
      <c r="C187" s="824"/>
      <c r="D187" s="825"/>
      <c r="E187" s="826"/>
      <c r="F187" s="886"/>
    </row>
    <row r="188" spans="1:45" ht="31">
      <c r="A188" s="739"/>
      <c r="B188" s="757" t="s">
        <v>26</v>
      </c>
      <c r="C188" s="746"/>
      <c r="D188" s="760"/>
      <c r="E188" s="737"/>
      <c r="F188" s="747"/>
    </row>
    <row r="189" spans="1:45" ht="12.75" customHeight="1">
      <c r="A189" s="763"/>
      <c r="B189" s="764"/>
      <c r="C189" s="746"/>
      <c r="D189" s="736"/>
      <c r="E189" s="737"/>
      <c r="F189" s="747"/>
    </row>
    <row r="190" spans="1:45" ht="46.5">
      <c r="A190" s="763"/>
      <c r="B190" s="762" t="s">
        <v>1249</v>
      </c>
      <c r="C190" s="746"/>
      <c r="D190" s="736"/>
      <c r="E190" s="737"/>
      <c r="F190" s="747"/>
    </row>
    <row r="191" spans="1:45" ht="15.5">
      <c r="A191" s="763"/>
      <c r="B191" s="762"/>
      <c r="C191" s="746"/>
      <c r="D191" s="736"/>
      <c r="E191" s="737"/>
      <c r="F191" s="747"/>
    </row>
    <row r="192" spans="1:45" ht="75" customHeight="1">
      <c r="A192" s="763"/>
      <c r="B192" s="762" t="s">
        <v>1436</v>
      </c>
      <c r="C192" s="746"/>
      <c r="D192" s="741"/>
      <c r="E192" s="737"/>
      <c r="F192" s="747"/>
    </row>
    <row r="193" spans="1:42" ht="15.5">
      <c r="A193" s="763"/>
      <c r="B193" s="762"/>
      <c r="C193" s="746"/>
      <c r="D193" s="741"/>
      <c r="E193" s="737"/>
      <c r="F193" s="747"/>
    </row>
    <row r="194" spans="1:42" ht="15.5">
      <c r="A194" s="763" t="s">
        <v>1250</v>
      </c>
      <c r="B194" s="764" t="s">
        <v>1251</v>
      </c>
      <c r="C194" s="746"/>
      <c r="D194" s="741"/>
      <c r="E194" s="737"/>
      <c r="F194" s="747"/>
    </row>
    <row r="195" spans="1:42" ht="12.75" customHeight="1">
      <c r="A195" s="739"/>
      <c r="B195" s="802"/>
      <c r="C195" s="746"/>
      <c r="D195" s="760"/>
      <c r="E195" s="737"/>
      <c r="F195" s="747"/>
    </row>
    <row r="196" spans="1:42" ht="77.5">
      <c r="A196" s="761" t="s">
        <v>1260</v>
      </c>
      <c r="B196" s="762" t="s">
        <v>1252</v>
      </c>
      <c r="C196" s="772" t="s">
        <v>10</v>
      </c>
      <c r="D196" s="773">
        <f>D103+D105+D121+D162+D177</f>
        <v>46</v>
      </c>
      <c r="E196" s="814"/>
      <c r="F196" s="885">
        <f>D196*E196</f>
        <v>0</v>
      </c>
    </row>
    <row r="197" spans="1:42" ht="12.75" customHeight="1">
      <c r="A197" s="758"/>
      <c r="B197" s="753"/>
      <c r="C197" s="746"/>
      <c r="D197" s="736"/>
      <c r="E197" s="737"/>
      <c r="F197" s="747"/>
    </row>
    <row r="198" spans="1:42" s="827" customFormat="1" ht="12.75" customHeight="1">
      <c r="A198" s="739" t="s">
        <v>371</v>
      </c>
      <c r="B198" s="802" t="s">
        <v>372</v>
      </c>
      <c r="C198" s="746"/>
      <c r="D198" s="760"/>
      <c r="E198" s="737"/>
      <c r="F198" s="747"/>
    </row>
    <row r="199" spans="1:42" s="828" customFormat="1" ht="12.75" customHeight="1">
      <c r="A199" s="761"/>
      <c r="B199" s="762"/>
      <c r="C199" s="772"/>
      <c r="D199" s="773"/>
      <c r="E199" s="737"/>
      <c r="F199" s="747"/>
    </row>
    <row r="200" spans="1:42" s="828" customFormat="1" ht="46.5">
      <c r="A200" s="739" t="s">
        <v>1261</v>
      </c>
      <c r="B200" s="757" t="s">
        <v>1253</v>
      </c>
      <c r="C200" s="772" t="s">
        <v>10</v>
      </c>
      <c r="D200" s="813">
        <v>2</v>
      </c>
      <c r="E200" s="814"/>
      <c r="F200" s="885">
        <f>+D200*E200</f>
        <v>0</v>
      </c>
    </row>
    <row r="201" spans="1:42" s="786" customFormat="1" ht="12.75" customHeight="1">
      <c r="A201" s="763"/>
      <c r="B201" s="764"/>
      <c r="C201" s="746"/>
      <c r="D201" s="736"/>
      <c r="E201" s="737"/>
      <c r="F201" s="747"/>
      <c r="G201" s="775"/>
      <c r="H201" s="775"/>
      <c r="I201" s="775"/>
      <c r="J201" s="775"/>
      <c r="K201" s="775"/>
      <c r="L201" s="775"/>
      <c r="M201" s="775"/>
      <c r="N201" s="775"/>
      <c r="O201" s="775"/>
      <c r="P201" s="775"/>
      <c r="Q201" s="775"/>
      <c r="R201" s="775"/>
      <c r="S201" s="775"/>
      <c r="T201" s="774">
        <f>R201+P201</f>
        <v>0</v>
      </c>
      <c r="U201" s="775"/>
      <c r="V201" s="775"/>
      <c r="W201" s="775"/>
      <c r="X201" s="774">
        <f>V201+T201</f>
        <v>0</v>
      </c>
      <c r="Y201" s="775"/>
      <c r="Z201" s="775"/>
      <c r="AA201" s="774">
        <f>Y201+W201</f>
        <v>0</v>
      </c>
      <c r="AB201" s="774">
        <f>Z201+X201</f>
        <v>0</v>
      </c>
      <c r="AC201" s="775"/>
      <c r="AD201" s="774">
        <f>AC201*E201</f>
        <v>0</v>
      </c>
      <c r="AE201" s="774">
        <f>AC201+AA201</f>
        <v>0</v>
      </c>
      <c r="AF201" s="774">
        <f>AD201+AB201</f>
        <v>0</v>
      </c>
      <c r="AG201" s="775"/>
      <c r="AH201" s="774">
        <f>AG201*E201</f>
        <v>0</v>
      </c>
      <c r="AI201" s="774">
        <f>AG201+AE201</f>
        <v>0</v>
      </c>
      <c r="AJ201" s="774">
        <f>AH201+AF201</f>
        <v>0</v>
      </c>
      <c r="AK201" s="775"/>
      <c r="AL201" s="776">
        <f>AK201*E201</f>
        <v>0</v>
      </c>
      <c r="AM201" s="777">
        <f>AK201+AI201</f>
        <v>0</v>
      </c>
      <c r="AN201" s="778">
        <f>AL201+AJ201</f>
        <v>0</v>
      </c>
      <c r="AO201" s="779"/>
      <c r="AP201" s="778">
        <f>AO201*E201</f>
        <v>0</v>
      </c>
    </row>
    <row r="202" spans="1:42" s="827" customFormat="1" ht="12.75" customHeight="1">
      <c r="A202" s="763"/>
      <c r="B202" s="764" t="s">
        <v>1437</v>
      </c>
      <c r="C202" s="746"/>
      <c r="D202" s="741"/>
      <c r="E202" s="737"/>
      <c r="F202" s="747"/>
    </row>
    <row r="203" spans="1:42" s="827" customFormat="1" ht="12.75" customHeight="1">
      <c r="A203" s="739"/>
      <c r="B203" s="802"/>
      <c r="C203" s="746"/>
      <c r="D203" s="760"/>
      <c r="E203" s="737"/>
      <c r="F203" s="747"/>
    </row>
    <row r="204" spans="1:42" ht="46.5">
      <c r="A204" s="761"/>
      <c r="B204" s="762" t="s">
        <v>386</v>
      </c>
      <c r="C204" s="772"/>
      <c r="D204" s="773"/>
      <c r="E204" s="737"/>
      <c r="F204" s="747"/>
      <c r="G204" s="829"/>
    </row>
    <row r="205" spans="1:42" s="828" customFormat="1" ht="12.75" customHeight="1">
      <c r="A205" s="739"/>
      <c r="B205" s="757"/>
      <c r="C205" s="746"/>
      <c r="D205" s="760"/>
      <c r="E205" s="737"/>
      <c r="F205" s="747"/>
    </row>
    <row r="206" spans="1:42" ht="31">
      <c r="A206" s="761" t="s">
        <v>1262</v>
      </c>
      <c r="B206" s="762" t="s">
        <v>1335</v>
      </c>
      <c r="C206" s="746" t="s">
        <v>9</v>
      </c>
      <c r="D206" s="736">
        <v>30</v>
      </c>
      <c r="E206" s="737"/>
      <c r="F206" s="747">
        <f>D206*E206</f>
        <v>0</v>
      </c>
      <c r="G206" s="829"/>
    </row>
    <row r="207" spans="1:42" s="827" customFormat="1" ht="12.75" customHeight="1">
      <c r="A207" s="761"/>
      <c r="B207" s="762"/>
      <c r="C207" s="746"/>
      <c r="D207" s="736"/>
      <c r="E207" s="737"/>
      <c r="F207" s="747"/>
    </row>
    <row r="208" spans="1:42" ht="17.5">
      <c r="A208" s="761" t="s">
        <v>1263</v>
      </c>
      <c r="B208" s="762" t="s">
        <v>390</v>
      </c>
      <c r="C208" s="746" t="s">
        <v>1438</v>
      </c>
      <c r="D208" s="741">
        <f>D206*0.4*1</f>
        <v>12</v>
      </c>
      <c r="E208" s="737"/>
      <c r="F208" s="747">
        <f>D208*E208</f>
        <v>0</v>
      </c>
    </row>
    <row r="209" spans="1:6" ht="12.75" customHeight="1">
      <c r="A209" s="739"/>
      <c r="B209" s="802"/>
      <c r="C209" s="746"/>
      <c r="D209" s="760"/>
      <c r="E209" s="737"/>
      <c r="F209" s="747"/>
    </row>
    <row r="210" spans="1:6" ht="15.5">
      <c r="A210" s="761"/>
      <c r="B210" s="762" t="s">
        <v>391</v>
      </c>
      <c r="C210" s="772"/>
      <c r="D210" s="773"/>
      <c r="E210" s="737"/>
      <c r="F210" s="747"/>
    </row>
    <row r="211" spans="1:6" ht="31">
      <c r="A211" s="758"/>
      <c r="B211" s="753" t="s">
        <v>392</v>
      </c>
      <c r="C211" s="746"/>
      <c r="D211" s="736"/>
      <c r="E211" s="737"/>
      <c r="F211" s="747"/>
    </row>
    <row r="212" spans="1:6" ht="10.25" customHeight="1">
      <c r="A212" s="739"/>
      <c r="B212" s="757"/>
      <c r="C212" s="746"/>
      <c r="D212" s="760"/>
      <c r="E212" s="737"/>
      <c r="F212" s="747"/>
    </row>
    <row r="213" spans="1:6" ht="31">
      <c r="A213" s="763" t="s">
        <v>1264</v>
      </c>
      <c r="B213" s="764" t="s">
        <v>1256</v>
      </c>
      <c r="C213" s="746" t="s">
        <v>9</v>
      </c>
      <c r="D213" s="736">
        <v>20</v>
      </c>
      <c r="E213" s="737"/>
      <c r="F213" s="747">
        <f>D213*E213</f>
        <v>0</v>
      </c>
    </row>
    <row r="214" spans="1:6" ht="12.75" customHeight="1">
      <c r="A214" s="763"/>
      <c r="B214" s="764"/>
      <c r="C214" s="746"/>
      <c r="D214" s="736"/>
      <c r="E214" s="737"/>
      <c r="F214" s="747"/>
    </row>
    <row r="215" spans="1:6" ht="15.5">
      <c r="A215" s="763" t="s">
        <v>1265</v>
      </c>
      <c r="B215" s="764" t="s">
        <v>1257</v>
      </c>
      <c r="C215" s="746" t="s">
        <v>9</v>
      </c>
      <c r="D215" s="741">
        <f>20*10</f>
        <v>200</v>
      </c>
      <c r="E215" s="737"/>
      <c r="F215" s="747">
        <f>D215*E215</f>
        <v>0</v>
      </c>
    </row>
    <row r="216" spans="1:6" ht="12.75" customHeight="1">
      <c r="A216" s="739"/>
      <c r="B216" s="757"/>
      <c r="C216" s="746"/>
      <c r="D216" s="760"/>
      <c r="E216" s="737"/>
      <c r="F216" s="747"/>
    </row>
    <row r="217" spans="1:6" ht="12.75" customHeight="1">
      <c r="A217" s="763"/>
      <c r="B217" s="764" t="s">
        <v>397</v>
      </c>
      <c r="C217" s="746"/>
      <c r="D217" s="736"/>
      <c r="E217" s="737"/>
      <c r="F217" s="747"/>
    </row>
    <row r="218" spans="1:6" ht="12.75" customHeight="1">
      <c r="A218" s="763"/>
      <c r="B218" s="764"/>
      <c r="C218" s="746"/>
      <c r="D218" s="736"/>
      <c r="E218" s="737"/>
      <c r="F218" s="747"/>
    </row>
    <row r="219" spans="1:6" ht="12.75" customHeight="1">
      <c r="A219" s="763"/>
      <c r="B219" s="764"/>
      <c r="C219" s="746"/>
      <c r="D219" s="736"/>
      <c r="E219" s="737"/>
      <c r="F219" s="747"/>
    </row>
    <row r="220" spans="1:6" ht="12.75" customHeight="1">
      <c r="A220" s="763"/>
      <c r="B220" s="764"/>
      <c r="C220" s="746"/>
      <c r="D220" s="736"/>
      <c r="E220" s="737"/>
      <c r="F220" s="747"/>
    </row>
    <row r="221" spans="1:6" ht="12.75" customHeight="1">
      <c r="A221" s="763"/>
      <c r="B221" s="764"/>
      <c r="C221" s="746"/>
      <c r="D221" s="736"/>
      <c r="E221" s="737"/>
      <c r="F221" s="747"/>
    </row>
    <row r="222" spans="1:6" ht="12.75" customHeight="1">
      <c r="A222" s="763"/>
      <c r="B222" s="764"/>
      <c r="C222" s="746"/>
      <c r="D222" s="736"/>
      <c r="E222" s="737"/>
      <c r="F222" s="747"/>
    </row>
    <row r="223" spans="1:6" ht="12.75" customHeight="1">
      <c r="A223" s="763"/>
      <c r="B223" s="764"/>
      <c r="C223" s="746"/>
      <c r="D223" s="736"/>
      <c r="E223" s="737"/>
      <c r="F223" s="747"/>
    </row>
    <row r="224" spans="1:6" ht="12.75" customHeight="1">
      <c r="A224" s="763"/>
      <c r="B224" s="764"/>
      <c r="C224" s="746"/>
      <c r="D224" s="736"/>
      <c r="E224" s="737"/>
      <c r="F224" s="747"/>
    </row>
    <row r="225" spans="1:42" ht="12.75" customHeight="1">
      <c r="A225" s="763"/>
      <c r="B225" s="764"/>
      <c r="C225" s="746"/>
      <c r="D225" s="736"/>
      <c r="E225" s="737"/>
      <c r="F225" s="747"/>
    </row>
    <row r="226" spans="1:42" ht="12.75" customHeight="1" thickBot="1">
      <c r="A226" s="763"/>
      <c r="B226" s="764"/>
      <c r="C226" s="746"/>
      <c r="D226" s="736"/>
      <c r="E226" s="737"/>
      <c r="F226" s="747"/>
    </row>
    <row r="227" spans="1:42" ht="12.75" customHeight="1" thickTop="1">
      <c r="A227" s="781"/>
      <c r="B227" s="782"/>
      <c r="C227" s="783"/>
      <c r="D227" s="784"/>
      <c r="E227" s="785"/>
      <c r="F227" s="851"/>
    </row>
    <row r="228" spans="1:42" ht="16" thickBot="1">
      <c r="A228" s="835"/>
      <c r="B228" s="836" t="s">
        <v>301</v>
      </c>
      <c r="C228" s="837"/>
      <c r="D228" s="838"/>
      <c r="E228" s="839"/>
      <c r="F228" s="887"/>
    </row>
    <row r="229" spans="1:42" ht="12.75" customHeight="1" thickTop="1">
      <c r="A229" s="888"/>
      <c r="B229" s="889"/>
      <c r="C229" s="876"/>
      <c r="D229" s="890"/>
      <c r="E229" s="878"/>
      <c r="F229" s="879"/>
    </row>
    <row r="230" spans="1:42" ht="31">
      <c r="A230" s="763"/>
      <c r="B230" s="764" t="s">
        <v>398</v>
      </c>
      <c r="C230" s="746"/>
      <c r="D230" s="741"/>
      <c r="E230" s="737"/>
      <c r="F230" s="747"/>
    </row>
    <row r="231" spans="1:42" ht="6.65" customHeight="1">
      <c r="A231" s="739"/>
      <c r="B231" s="802"/>
      <c r="C231" s="746"/>
      <c r="D231" s="760"/>
      <c r="E231" s="737"/>
      <c r="F231" s="747"/>
    </row>
    <row r="232" spans="1:42" ht="12.75" customHeight="1">
      <c r="A232" s="761" t="s">
        <v>1266</v>
      </c>
      <c r="B232" s="762" t="s">
        <v>400</v>
      </c>
      <c r="C232" s="772" t="s">
        <v>10</v>
      </c>
      <c r="D232" s="773">
        <f>D12/500</f>
        <v>58.7</v>
      </c>
      <c r="E232" s="737"/>
      <c r="F232" s="747">
        <f>D232*E232</f>
        <v>0</v>
      </c>
    </row>
    <row r="233" spans="1:42" ht="9" customHeight="1">
      <c r="A233" s="758"/>
      <c r="B233" s="753"/>
      <c r="C233" s="746"/>
      <c r="D233" s="736"/>
      <c r="E233" s="737"/>
      <c r="F233" s="747"/>
    </row>
    <row r="234" spans="1:42" ht="12.75" customHeight="1">
      <c r="A234" s="739" t="s">
        <v>1267</v>
      </c>
      <c r="B234" s="757" t="s">
        <v>402</v>
      </c>
      <c r="C234" s="746" t="s">
        <v>10</v>
      </c>
      <c r="D234" s="760">
        <f>32</f>
        <v>32</v>
      </c>
      <c r="E234" s="737"/>
      <c r="F234" s="747">
        <f>D234*E234</f>
        <v>0</v>
      </c>
    </row>
    <row r="235" spans="1:42" ht="12.75" customHeight="1">
      <c r="A235" s="763"/>
      <c r="B235" s="764"/>
      <c r="C235" s="746"/>
      <c r="D235" s="736"/>
      <c r="E235" s="737"/>
      <c r="F235" s="747"/>
    </row>
    <row r="236" spans="1:42" ht="12.75" customHeight="1">
      <c r="A236" s="761" t="s">
        <v>1268</v>
      </c>
      <c r="B236" s="762" t="s">
        <v>404</v>
      </c>
      <c r="C236" s="746" t="s">
        <v>10</v>
      </c>
      <c r="D236" s="736">
        <v>7</v>
      </c>
      <c r="E236" s="737"/>
      <c r="F236" s="747">
        <f>D236*E236</f>
        <v>0</v>
      </c>
    </row>
    <row r="237" spans="1:42" ht="12.75" customHeight="1">
      <c r="A237" s="763"/>
      <c r="B237" s="764"/>
      <c r="C237" s="746"/>
      <c r="D237" s="741"/>
      <c r="E237" s="737"/>
      <c r="F237" s="747"/>
    </row>
    <row r="238" spans="1:42" ht="29.25" customHeight="1">
      <c r="A238" s="739"/>
      <c r="B238" s="802" t="s">
        <v>28</v>
      </c>
      <c r="C238" s="746"/>
      <c r="D238" s="760"/>
      <c r="E238" s="737"/>
      <c r="F238" s="747"/>
    </row>
    <row r="239" spans="1:42" ht="8.4" customHeight="1">
      <c r="A239" s="763"/>
      <c r="B239" s="764"/>
      <c r="C239" s="746"/>
      <c r="D239" s="736"/>
      <c r="E239" s="737"/>
      <c r="F239" s="747"/>
    </row>
    <row r="240" spans="1:42" s="786" customFormat="1" ht="12.75" customHeight="1">
      <c r="A240" s="739"/>
      <c r="B240" s="757" t="s">
        <v>405</v>
      </c>
      <c r="C240" s="746"/>
      <c r="D240" s="760"/>
      <c r="E240" s="737"/>
      <c r="F240" s="747"/>
      <c r="G240" s="775"/>
      <c r="H240" s="775"/>
      <c r="I240" s="775"/>
      <c r="J240" s="775"/>
      <c r="K240" s="775"/>
      <c r="L240" s="775"/>
      <c r="M240" s="775"/>
      <c r="N240" s="775"/>
      <c r="O240" s="775"/>
      <c r="P240" s="775"/>
      <c r="Q240" s="775"/>
      <c r="R240" s="775"/>
      <c r="S240" s="775"/>
      <c r="T240" s="774"/>
      <c r="U240" s="775"/>
      <c r="V240" s="775"/>
      <c r="W240" s="775"/>
      <c r="X240" s="774"/>
      <c r="Y240" s="775"/>
      <c r="Z240" s="775"/>
      <c r="AA240" s="774"/>
      <c r="AB240" s="774"/>
      <c r="AC240" s="775"/>
      <c r="AD240" s="774"/>
      <c r="AE240" s="774"/>
      <c r="AF240" s="774"/>
      <c r="AG240" s="775"/>
      <c r="AH240" s="774"/>
      <c r="AI240" s="774">
        <f>AG240+AE240</f>
        <v>0</v>
      </c>
      <c r="AJ240" s="774"/>
      <c r="AK240" s="775"/>
      <c r="AL240" s="776">
        <f>AK240*E240</f>
        <v>0</v>
      </c>
      <c r="AM240" s="777">
        <f>AK240+AI240</f>
        <v>0</v>
      </c>
      <c r="AN240" s="778"/>
      <c r="AO240" s="779"/>
      <c r="AP240" s="778">
        <f>AO240*E240</f>
        <v>0</v>
      </c>
    </row>
    <row r="241" spans="1:42" s="786" customFormat="1" ht="12.75" customHeight="1">
      <c r="A241" s="763"/>
      <c r="B241" s="764"/>
      <c r="C241" s="746"/>
      <c r="D241" s="736"/>
      <c r="E241" s="737"/>
      <c r="F241" s="747"/>
      <c r="G241" s="775"/>
      <c r="H241" s="775"/>
      <c r="I241" s="775"/>
      <c r="J241" s="775"/>
      <c r="K241" s="775"/>
      <c r="L241" s="775"/>
      <c r="M241" s="775"/>
      <c r="N241" s="775"/>
      <c r="O241" s="775"/>
      <c r="P241" s="775"/>
      <c r="Q241" s="775"/>
      <c r="R241" s="775"/>
      <c r="S241" s="775"/>
      <c r="T241" s="774"/>
      <c r="U241" s="775"/>
      <c r="V241" s="775"/>
      <c r="W241" s="775"/>
      <c r="X241" s="774"/>
      <c r="Y241" s="775"/>
      <c r="Z241" s="775"/>
      <c r="AA241" s="774"/>
      <c r="AB241" s="774"/>
      <c r="AC241" s="775"/>
      <c r="AD241" s="774"/>
      <c r="AE241" s="774"/>
      <c r="AF241" s="774"/>
      <c r="AG241" s="775"/>
      <c r="AH241" s="774"/>
      <c r="AI241" s="774">
        <f>AG241+AE241</f>
        <v>0</v>
      </c>
      <c r="AJ241" s="774"/>
      <c r="AK241" s="775"/>
      <c r="AL241" s="776">
        <f>AK241*E241</f>
        <v>0</v>
      </c>
      <c r="AM241" s="777">
        <f>AK241+AI241</f>
        <v>0</v>
      </c>
      <c r="AN241" s="778"/>
      <c r="AO241" s="779"/>
      <c r="AP241" s="778">
        <f>AO241*E241</f>
        <v>0</v>
      </c>
    </row>
    <row r="242" spans="1:42" s="786" customFormat="1" ht="31">
      <c r="A242" s="763" t="s">
        <v>1269</v>
      </c>
      <c r="B242" s="764" t="s">
        <v>407</v>
      </c>
      <c r="C242" s="746" t="s">
        <v>1438</v>
      </c>
      <c r="D242" s="736">
        <f>D12*20%*1.5*1.7</f>
        <v>14968.5</v>
      </c>
      <c r="E242" s="737"/>
      <c r="F242" s="747">
        <f>D242*E242</f>
        <v>0</v>
      </c>
      <c r="G242" s="775"/>
      <c r="H242" s="775"/>
      <c r="I242" s="775"/>
      <c r="J242" s="775"/>
      <c r="K242" s="775"/>
      <c r="L242" s="775"/>
      <c r="M242" s="775"/>
      <c r="N242" s="775"/>
      <c r="O242" s="775"/>
      <c r="P242" s="775"/>
      <c r="Q242" s="775"/>
      <c r="R242" s="775"/>
      <c r="S242" s="775"/>
      <c r="T242" s="774"/>
      <c r="U242" s="775"/>
      <c r="V242" s="775"/>
      <c r="W242" s="775"/>
      <c r="X242" s="774"/>
      <c r="Y242" s="775"/>
      <c r="Z242" s="775"/>
      <c r="AA242" s="774"/>
      <c r="AB242" s="774"/>
      <c r="AC242" s="775"/>
      <c r="AD242" s="774"/>
      <c r="AE242" s="774"/>
      <c r="AF242" s="774"/>
      <c r="AG242" s="775"/>
      <c r="AH242" s="774"/>
      <c r="AI242" s="774">
        <f>AG242+AE242</f>
        <v>0</v>
      </c>
      <c r="AJ242" s="774">
        <f>AH242+AF242</f>
        <v>0</v>
      </c>
      <c r="AK242" s="775"/>
      <c r="AL242" s="776">
        <f>AK242*E242</f>
        <v>0</v>
      </c>
      <c r="AM242" s="777">
        <f>AK242+AI242</f>
        <v>0</v>
      </c>
      <c r="AN242" s="778">
        <f>AL242+AJ242</f>
        <v>0</v>
      </c>
      <c r="AO242" s="779"/>
      <c r="AP242" s="778">
        <f>AO242*E242</f>
        <v>0</v>
      </c>
    </row>
    <row r="243" spans="1:42" s="786" customFormat="1" ht="12.75" customHeight="1">
      <c r="A243" s="830"/>
      <c r="B243" s="869"/>
      <c r="C243" s="871"/>
      <c r="D243" s="833"/>
      <c r="E243" s="834"/>
      <c r="F243" s="891"/>
      <c r="G243" s="775"/>
      <c r="H243" s="775"/>
      <c r="I243" s="775"/>
      <c r="J243" s="775"/>
      <c r="K243" s="775"/>
      <c r="L243" s="775"/>
      <c r="M243" s="775"/>
      <c r="N243" s="775"/>
      <c r="O243" s="775"/>
      <c r="P243" s="775"/>
      <c r="Q243" s="775"/>
      <c r="R243" s="775"/>
      <c r="S243" s="775"/>
      <c r="T243" s="774"/>
      <c r="U243" s="775"/>
      <c r="V243" s="775"/>
      <c r="W243" s="775"/>
      <c r="X243" s="774"/>
      <c r="Y243" s="775"/>
      <c r="Z243" s="775"/>
      <c r="AA243" s="774"/>
      <c r="AB243" s="774"/>
      <c r="AC243" s="775"/>
      <c r="AD243" s="774"/>
      <c r="AE243" s="774"/>
      <c r="AF243" s="774"/>
      <c r="AG243" s="775"/>
      <c r="AH243" s="774"/>
      <c r="AI243" s="774"/>
      <c r="AJ243" s="774"/>
      <c r="AK243" s="775"/>
      <c r="AL243" s="776"/>
      <c r="AM243" s="777"/>
      <c r="AN243" s="778"/>
      <c r="AO243" s="779"/>
      <c r="AP243" s="778"/>
    </row>
    <row r="244" spans="1:42" ht="12.75" customHeight="1">
      <c r="A244" s="867"/>
      <c r="B244" s="868"/>
      <c r="C244" s="870"/>
      <c r="D244" s="872"/>
      <c r="E244" s="873"/>
      <c r="F244" s="732"/>
    </row>
    <row r="245" spans="1:42" s="786" customFormat="1" ht="31">
      <c r="A245" s="739" t="s">
        <v>1270</v>
      </c>
      <c r="B245" s="757" t="s">
        <v>409</v>
      </c>
      <c r="C245" s="746" t="s">
        <v>1438</v>
      </c>
      <c r="D245" s="760">
        <f>0.4*2*3*(D196)</f>
        <v>110.40000000000002</v>
      </c>
      <c r="E245" s="737"/>
      <c r="F245" s="747">
        <f>D245*E245</f>
        <v>0</v>
      </c>
      <c r="G245" s="775"/>
      <c r="H245" s="775"/>
      <c r="I245" s="775"/>
      <c r="J245" s="775"/>
      <c r="K245" s="775"/>
      <c r="L245" s="775"/>
      <c r="M245" s="775"/>
      <c r="N245" s="775"/>
      <c r="O245" s="775"/>
      <c r="P245" s="775"/>
      <c r="Q245" s="775"/>
      <c r="R245" s="775"/>
      <c r="S245" s="775"/>
      <c r="T245" s="774"/>
      <c r="U245" s="775"/>
      <c r="V245" s="775"/>
      <c r="W245" s="775"/>
      <c r="X245" s="774"/>
      <c r="Y245" s="775"/>
      <c r="Z245" s="775"/>
      <c r="AA245" s="774"/>
      <c r="AB245" s="774"/>
      <c r="AC245" s="775"/>
      <c r="AD245" s="774"/>
      <c r="AE245" s="774"/>
      <c r="AF245" s="774"/>
      <c r="AG245" s="775"/>
      <c r="AH245" s="774"/>
      <c r="AI245" s="774">
        <f>AG245+AE245</f>
        <v>0</v>
      </c>
      <c r="AJ245" s="774">
        <f>AH245+AF245</f>
        <v>0</v>
      </c>
      <c r="AK245" s="775"/>
      <c r="AL245" s="776">
        <f>AK245*E245</f>
        <v>0</v>
      </c>
      <c r="AM245" s="777">
        <f>AK245+AI245</f>
        <v>0</v>
      </c>
      <c r="AN245" s="778">
        <f>AL245+AJ245</f>
        <v>0</v>
      </c>
      <c r="AO245" s="779"/>
      <c r="AP245" s="778">
        <f>AO245*E245</f>
        <v>0</v>
      </c>
    </row>
    <row r="246" spans="1:42" s="786" customFormat="1" ht="15.5">
      <c r="A246" s="763"/>
      <c r="B246" s="764"/>
      <c r="C246" s="746"/>
      <c r="D246" s="736"/>
      <c r="E246" s="737"/>
      <c r="F246" s="747"/>
      <c r="G246" s="775"/>
      <c r="H246" s="775"/>
      <c r="I246" s="775"/>
      <c r="J246" s="775"/>
      <c r="K246" s="775"/>
      <c r="L246" s="775"/>
      <c r="M246" s="775"/>
      <c r="N246" s="775"/>
      <c r="O246" s="775"/>
      <c r="P246" s="775"/>
      <c r="Q246" s="775"/>
      <c r="R246" s="775"/>
      <c r="S246" s="775"/>
      <c r="T246" s="774"/>
      <c r="U246" s="775"/>
      <c r="V246" s="775"/>
      <c r="W246" s="775"/>
      <c r="X246" s="774"/>
      <c r="Y246" s="775"/>
      <c r="Z246" s="775"/>
      <c r="AA246" s="774"/>
      <c r="AB246" s="774"/>
      <c r="AC246" s="775"/>
      <c r="AD246" s="774"/>
      <c r="AE246" s="774"/>
      <c r="AF246" s="774"/>
      <c r="AG246" s="775"/>
      <c r="AH246" s="774"/>
      <c r="AI246" s="774"/>
      <c r="AJ246" s="774"/>
      <c r="AK246" s="775"/>
      <c r="AL246" s="774"/>
      <c r="AM246" s="774"/>
      <c r="AN246" s="774"/>
      <c r="AO246" s="806"/>
      <c r="AP246" s="774"/>
    </row>
    <row r="247" spans="1:42" ht="12.75" customHeight="1">
      <c r="A247" s="763"/>
      <c r="B247" s="764" t="s">
        <v>417</v>
      </c>
      <c r="C247" s="746"/>
      <c r="D247" s="736"/>
      <c r="E247" s="737"/>
      <c r="F247" s="747"/>
    </row>
    <row r="248" spans="1:42" ht="12.75" customHeight="1">
      <c r="A248" s="763"/>
      <c r="B248" s="764"/>
      <c r="C248" s="746"/>
      <c r="D248" s="741"/>
      <c r="E248" s="737"/>
      <c r="F248" s="747"/>
    </row>
    <row r="249" spans="1:42" ht="33">
      <c r="A249" s="739"/>
      <c r="B249" s="802" t="s">
        <v>1439</v>
      </c>
      <c r="C249" s="746"/>
      <c r="D249" s="760"/>
      <c r="E249" s="737"/>
      <c r="F249" s="747"/>
    </row>
    <row r="250" spans="1:42" ht="12.75" customHeight="1">
      <c r="A250" s="761"/>
      <c r="B250" s="762"/>
      <c r="C250" s="772"/>
      <c r="D250" s="773"/>
      <c r="E250" s="737"/>
      <c r="F250" s="747"/>
    </row>
    <row r="251" spans="1:42" ht="17.5">
      <c r="A251" s="739" t="s">
        <v>1271</v>
      </c>
      <c r="B251" s="757" t="s">
        <v>1440</v>
      </c>
      <c r="C251" s="746" t="s">
        <v>10</v>
      </c>
      <c r="D251" s="760">
        <f>D65</f>
        <v>15</v>
      </c>
      <c r="E251" s="737"/>
      <c r="F251" s="747">
        <f>D251*E251</f>
        <v>0</v>
      </c>
    </row>
    <row r="252" spans="1:42" ht="12.75" customHeight="1">
      <c r="A252" s="739"/>
      <c r="B252" s="757"/>
      <c r="C252" s="746"/>
      <c r="D252" s="760"/>
      <c r="E252" s="737"/>
      <c r="F252" s="747"/>
    </row>
    <row r="253" spans="1:42" ht="17.5">
      <c r="A253" s="761" t="s">
        <v>1272</v>
      </c>
      <c r="B253" s="762" t="s">
        <v>1441</v>
      </c>
      <c r="C253" s="746" t="s">
        <v>10</v>
      </c>
      <c r="D253" s="736">
        <f>D67</f>
        <v>20</v>
      </c>
      <c r="E253" s="737"/>
      <c r="F253" s="747">
        <f>D253*E253</f>
        <v>0</v>
      </c>
    </row>
    <row r="254" spans="1:42" ht="12.75" customHeight="1">
      <c r="A254" s="763"/>
      <c r="B254" s="764"/>
      <c r="C254" s="746"/>
      <c r="D254" s="736"/>
      <c r="E254" s="737"/>
      <c r="F254" s="747"/>
    </row>
    <row r="255" spans="1:42" ht="17.5">
      <c r="A255" s="761" t="s">
        <v>1273</v>
      </c>
      <c r="B255" s="762" t="s">
        <v>1442</v>
      </c>
      <c r="C255" s="772" t="s">
        <v>10</v>
      </c>
      <c r="D255" s="773">
        <f>D69</f>
        <v>12</v>
      </c>
      <c r="E255" s="737"/>
      <c r="F255" s="747">
        <f>D255*E255</f>
        <v>0</v>
      </c>
    </row>
    <row r="256" spans="1:42" ht="12.75" customHeight="1">
      <c r="A256" s="739"/>
      <c r="B256" s="757"/>
      <c r="C256" s="746"/>
      <c r="D256" s="760"/>
      <c r="E256" s="737"/>
      <c r="F256" s="747"/>
    </row>
    <row r="257" spans="1:43" ht="17.5">
      <c r="A257" s="739"/>
      <c r="B257" s="802" t="s">
        <v>1449</v>
      </c>
      <c r="C257" s="746"/>
      <c r="D257" s="760"/>
      <c r="E257" s="737"/>
      <c r="F257" s="747"/>
    </row>
    <row r="258" spans="1:43" ht="12.75" customHeight="1">
      <c r="A258" s="763"/>
      <c r="B258" s="764"/>
      <c r="C258" s="746"/>
      <c r="D258" s="736"/>
      <c r="E258" s="737"/>
      <c r="F258" s="747"/>
    </row>
    <row r="259" spans="1:43" ht="15.5">
      <c r="A259" s="763"/>
      <c r="B259" s="764"/>
      <c r="C259" s="746"/>
      <c r="D259" s="741"/>
      <c r="E259" s="737"/>
      <c r="F259" s="747"/>
    </row>
    <row r="260" spans="1:43" ht="17.5">
      <c r="A260" s="739" t="s">
        <v>1274</v>
      </c>
      <c r="B260" s="757" t="s">
        <v>1443</v>
      </c>
      <c r="C260" s="746" t="s">
        <v>10</v>
      </c>
      <c r="D260" s="760">
        <f>D71</f>
        <v>10</v>
      </c>
      <c r="E260" s="737"/>
      <c r="F260" s="747">
        <f>D260*E260</f>
        <v>0</v>
      </c>
    </row>
    <row r="261" spans="1:43" ht="12.75" customHeight="1">
      <c r="A261" s="761"/>
      <c r="B261" s="762"/>
      <c r="C261" s="772"/>
      <c r="D261" s="773"/>
      <c r="E261" s="737"/>
      <c r="F261" s="747"/>
    </row>
    <row r="262" spans="1:43" s="786" customFormat="1" ht="31">
      <c r="A262" s="739"/>
      <c r="B262" s="757" t="s">
        <v>433</v>
      </c>
      <c r="C262" s="746"/>
      <c r="D262" s="760"/>
      <c r="E262" s="737"/>
      <c r="F262" s="747"/>
      <c r="G262" s="775"/>
      <c r="H262" s="775"/>
      <c r="I262" s="775"/>
      <c r="J262" s="775"/>
      <c r="K262" s="775"/>
      <c r="L262" s="775"/>
      <c r="M262" s="775"/>
      <c r="N262" s="775"/>
      <c r="O262" s="775"/>
      <c r="P262" s="775"/>
      <c r="Q262" s="775"/>
      <c r="R262" s="775"/>
      <c r="S262" s="775"/>
      <c r="T262" s="774"/>
      <c r="U262" s="775"/>
      <c r="V262" s="775"/>
      <c r="W262" s="775"/>
      <c r="X262" s="774"/>
      <c r="Y262" s="775"/>
      <c r="Z262" s="775"/>
      <c r="AA262" s="774"/>
      <c r="AB262" s="774"/>
      <c r="AC262" s="775"/>
      <c r="AD262" s="775"/>
      <c r="AE262" s="774"/>
      <c r="AF262" s="774"/>
      <c r="AG262" s="775"/>
      <c r="AH262" s="775"/>
      <c r="AI262" s="774">
        <f t="shared" ref="AI262:AJ264" si="10">AG262+AE262</f>
        <v>0</v>
      </c>
      <c r="AJ262" s="774">
        <f t="shared" si="10"/>
        <v>0</v>
      </c>
      <c r="AK262" s="775"/>
      <c r="AL262" s="775"/>
      <c r="AM262" s="774">
        <f t="shared" ref="AM262:AN264" si="11">AK262+AI262</f>
        <v>0</v>
      </c>
      <c r="AN262" s="774">
        <f t="shared" si="11"/>
        <v>0</v>
      </c>
      <c r="AO262" s="806"/>
      <c r="AP262" s="775"/>
      <c r="AQ262" s="716"/>
    </row>
    <row r="263" spans="1:43" s="786" customFormat="1" ht="12.75" customHeight="1">
      <c r="A263" s="739"/>
      <c r="B263" s="757"/>
      <c r="C263" s="746"/>
      <c r="D263" s="760"/>
      <c r="E263" s="737"/>
      <c r="F263" s="747"/>
      <c r="G263" s="775"/>
      <c r="H263" s="775"/>
      <c r="I263" s="775"/>
      <c r="J263" s="775"/>
      <c r="K263" s="775"/>
      <c r="L263" s="775"/>
      <c r="M263" s="775"/>
      <c r="N263" s="775"/>
      <c r="O263" s="775"/>
      <c r="P263" s="775"/>
      <c r="Q263" s="775"/>
      <c r="R263" s="775"/>
      <c r="S263" s="775"/>
      <c r="T263" s="774"/>
      <c r="U263" s="775"/>
      <c r="V263" s="775"/>
      <c r="W263" s="775"/>
      <c r="X263" s="774"/>
      <c r="Y263" s="775"/>
      <c r="Z263" s="775"/>
      <c r="AA263" s="774"/>
      <c r="AB263" s="774"/>
      <c r="AC263" s="775"/>
      <c r="AD263" s="775"/>
      <c r="AE263" s="774"/>
      <c r="AF263" s="774"/>
      <c r="AG263" s="775"/>
      <c r="AH263" s="775"/>
      <c r="AI263" s="774">
        <f t="shared" si="10"/>
        <v>0</v>
      </c>
      <c r="AJ263" s="774">
        <f t="shared" si="10"/>
        <v>0</v>
      </c>
      <c r="AK263" s="775"/>
      <c r="AL263" s="775"/>
      <c r="AM263" s="774">
        <f t="shared" si="11"/>
        <v>0</v>
      </c>
      <c r="AN263" s="774">
        <f t="shared" si="11"/>
        <v>0</v>
      </c>
      <c r="AO263" s="806"/>
      <c r="AP263" s="775"/>
      <c r="AQ263" s="716"/>
    </row>
    <row r="264" spans="1:43" s="786" customFormat="1" ht="31">
      <c r="A264" s="761" t="s">
        <v>1275</v>
      </c>
      <c r="B264" s="762" t="s">
        <v>923</v>
      </c>
      <c r="C264" s="746" t="s">
        <v>10</v>
      </c>
      <c r="D264" s="736">
        <v>5</v>
      </c>
      <c r="E264" s="737"/>
      <c r="F264" s="747">
        <f>D264*E264</f>
        <v>0</v>
      </c>
      <c r="G264" s="775"/>
      <c r="H264" s="775"/>
      <c r="I264" s="775"/>
      <c r="J264" s="775"/>
      <c r="K264" s="775"/>
      <c r="L264" s="775"/>
      <c r="M264" s="775"/>
      <c r="N264" s="775"/>
      <c r="O264" s="775"/>
      <c r="P264" s="775"/>
      <c r="Q264" s="775"/>
      <c r="R264" s="775"/>
      <c r="S264" s="775"/>
      <c r="T264" s="774"/>
      <c r="U264" s="775"/>
      <c r="V264" s="775"/>
      <c r="W264" s="775"/>
      <c r="X264" s="774"/>
      <c r="Y264" s="775"/>
      <c r="Z264" s="775"/>
      <c r="AA264" s="774"/>
      <c r="AB264" s="774"/>
      <c r="AC264" s="775"/>
      <c r="AD264" s="775"/>
      <c r="AE264" s="774"/>
      <c r="AF264" s="774"/>
      <c r="AG264" s="775"/>
      <c r="AH264" s="775"/>
      <c r="AI264" s="774">
        <f t="shared" si="10"/>
        <v>0</v>
      </c>
      <c r="AJ264" s="774">
        <f t="shared" si="10"/>
        <v>0</v>
      </c>
      <c r="AK264" s="775"/>
      <c r="AL264" s="775"/>
      <c r="AM264" s="774">
        <f t="shared" si="11"/>
        <v>0</v>
      </c>
      <c r="AN264" s="774">
        <f t="shared" si="11"/>
        <v>0</v>
      </c>
      <c r="AO264" s="806"/>
      <c r="AP264" s="775"/>
      <c r="AQ264" s="716"/>
    </row>
    <row r="265" spans="1:43" s="786" customFormat="1" ht="15.5">
      <c r="A265" s="761"/>
      <c r="B265" s="762"/>
      <c r="C265" s="746"/>
      <c r="D265" s="736"/>
      <c r="E265" s="737"/>
      <c r="F265" s="747"/>
      <c r="G265" s="775"/>
      <c r="H265" s="775"/>
      <c r="I265" s="775"/>
      <c r="J265" s="775"/>
      <c r="K265" s="775"/>
      <c r="L265" s="775"/>
      <c r="M265" s="775"/>
      <c r="N265" s="775"/>
      <c r="O265" s="775"/>
      <c r="P265" s="775"/>
      <c r="Q265" s="775"/>
      <c r="R265" s="775"/>
      <c r="S265" s="775"/>
      <c r="T265" s="774"/>
      <c r="U265" s="775"/>
      <c r="V265" s="775"/>
      <c r="W265" s="775"/>
      <c r="X265" s="774"/>
      <c r="Y265" s="775"/>
      <c r="Z265" s="775"/>
      <c r="AA265" s="774"/>
      <c r="AB265" s="774"/>
      <c r="AC265" s="775"/>
      <c r="AD265" s="775"/>
      <c r="AE265" s="774"/>
      <c r="AF265" s="774"/>
      <c r="AG265" s="775"/>
      <c r="AH265" s="775"/>
      <c r="AI265" s="774"/>
      <c r="AJ265" s="774"/>
      <c r="AK265" s="775"/>
      <c r="AL265" s="775"/>
      <c r="AM265" s="774"/>
      <c r="AN265" s="774"/>
      <c r="AO265" s="806"/>
      <c r="AP265" s="775"/>
      <c r="AQ265" s="716"/>
    </row>
    <row r="266" spans="1:43" s="786" customFormat="1" ht="15.5">
      <c r="A266" s="761"/>
      <c r="B266" s="762"/>
      <c r="C266" s="746"/>
      <c r="D266" s="736"/>
      <c r="E266" s="737"/>
      <c r="F266" s="747"/>
      <c r="G266" s="775"/>
      <c r="H266" s="775"/>
      <c r="I266" s="775"/>
      <c r="J266" s="775"/>
      <c r="K266" s="775"/>
      <c r="L266" s="775"/>
      <c r="M266" s="775"/>
      <c r="N266" s="775"/>
      <c r="O266" s="775"/>
      <c r="P266" s="775"/>
      <c r="Q266" s="775"/>
      <c r="R266" s="775"/>
      <c r="S266" s="775"/>
      <c r="T266" s="774"/>
      <c r="U266" s="775"/>
      <c r="V266" s="775"/>
      <c r="W266" s="775"/>
      <c r="X266" s="774"/>
      <c r="Y266" s="775"/>
      <c r="Z266" s="775"/>
      <c r="AA266" s="774"/>
      <c r="AB266" s="774"/>
      <c r="AC266" s="775"/>
      <c r="AD266" s="775"/>
      <c r="AE266" s="774"/>
      <c r="AF266" s="774"/>
      <c r="AG266" s="775"/>
      <c r="AH266" s="775"/>
      <c r="AI266" s="774"/>
      <c r="AJ266" s="774"/>
      <c r="AK266" s="775"/>
      <c r="AL266" s="775"/>
      <c r="AM266" s="774"/>
      <c r="AN266" s="774"/>
      <c r="AO266" s="806"/>
      <c r="AP266" s="775"/>
      <c r="AQ266" s="716"/>
    </row>
    <row r="267" spans="1:43" s="786" customFormat="1" ht="15.5">
      <c r="A267" s="761"/>
      <c r="B267" s="762"/>
      <c r="C267" s="746"/>
      <c r="D267" s="736"/>
      <c r="E267" s="737"/>
      <c r="F267" s="747"/>
      <c r="G267" s="775"/>
      <c r="H267" s="775"/>
      <c r="I267" s="775"/>
      <c r="J267" s="775"/>
      <c r="K267" s="775"/>
      <c r="L267" s="775"/>
      <c r="M267" s="775"/>
      <c r="N267" s="775"/>
      <c r="O267" s="775"/>
      <c r="P267" s="775"/>
      <c r="Q267" s="775"/>
      <c r="R267" s="775"/>
      <c r="S267" s="775"/>
      <c r="T267" s="774"/>
      <c r="U267" s="775"/>
      <c r="V267" s="775"/>
      <c r="W267" s="775"/>
      <c r="X267" s="774"/>
      <c r="Y267" s="775"/>
      <c r="Z267" s="775"/>
      <c r="AA267" s="774"/>
      <c r="AB267" s="774"/>
      <c r="AC267" s="775"/>
      <c r="AD267" s="775"/>
      <c r="AE267" s="774"/>
      <c r="AF267" s="774"/>
      <c r="AG267" s="775"/>
      <c r="AH267" s="775"/>
      <c r="AI267" s="774"/>
      <c r="AJ267" s="774"/>
      <c r="AK267" s="775"/>
      <c r="AL267" s="775"/>
      <c r="AM267" s="774"/>
      <c r="AN267" s="774"/>
      <c r="AO267" s="806"/>
      <c r="AP267" s="775"/>
      <c r="AQ267" s="716"/>
    </row>
    <row r="268" spans="1:43" s="786" customFormat="1" ht="15.5">
      <c r="A268" s="761"/>
      <c r="B268" s="762"/>
      <c r="C268" s="746"/>
      <c r="D268" s="736"/>
      <c r="E268" s="737"/>
      <c r="F268" s="747"/>
      <c r="G268" s="775"/>
      <c r="H268" s="775"/>
      <c r="I268" s="775"/>
      <c r="J268" s="775"/>
      <c r="K268" s="775"/>
      <c r="L268" s="775"/>
      <c r="M268" s="775"/>
      <c r="N268" s="775"/>
      <c r="O268" s="775"/>
      <c r="P268" s="775"/>
      <c r="Q268" s="775"/>
      <c r="R268" s="775"/>
      <c r="S268" s="775"/>
      <c r="T268" s="774"/>
      <c r="U268" s="775"/>
      <c r="V268" s="775"/>
      <c r="W268" s="775"/>
      <c r="X268" s="774"/>
      <c r="Y268" s="775"/>
      <c r="Z268" s="775"/>
      <c r="AA268" s="774"/>
      <c r="AB268" s="774"/>
      <c r="AC268" s="775"/>
      <c r="AD268" s="775"/>
      <c r="AE268" s="774"/>
      <c r="AF268" s="774"/>
      <c r="AG268" s="775"/>
      <c r="AH268" s="775"/>
      <c r="AI268" s="774"/>
      <c r="AJ268" s="774"/>
      <c r="AK268" s="775"/>
      <c r="AL268" s="775"/>
      <c r="AM268" s="774"/>
      <c r="AN268" s="774"/>
      <c r="AO268" s="806"/>
      <c r="AP268" s="775"/>
      <c r="AQ268" s="716"/>
    </row>
    <row r="269" spans="1:43" s="786" customFormat="1" ht="15.5">
      <c r="A269" s="761"/>
      <c r="B269" s="762"/>
      <c r="C269" s="746"/>
      <c r="D269" s="736"/>
      <c r="E269" s="737"/>
      <c r="F269" s="747"/>
      <c r="G269" s="775"/>
      <c r="H269" s="775"/>
      <c r="I269" s="775"/>
      <c r="J269" s="775"/>
      <c r="K269" s="775"/>
      <c r="L269" s="775"/>
      <c r="M269" s="775"/>
      <c r="N269" s="775"/>
      <c r="O269" s="775"/>
      <c r="P269" s="775"/>
      <c r="Q269" s="775"/>
      <c r="R269" s="775"/>
      <c r="S269" s="775"/>
      <c r="T269" s="774"/>
      <c r="U269" s="775"/>
      <c r="V269" s="775"/>
      <c r="W269" s="775"/>
      <c r="X269" s="774"/>
      <c r="Y269" s="775"/>
      <c r="Z269" s="775"/>
      <c r="AA269" s="774"/>
      <c r="AB269" s="774"/>
      <c r="AC269" s="775"/>
      <c r="AD269" s="775"/>
      <c r="AE269" s="774"/>
      <c r="AF269" s="774"/>
      <c r="AG269" s="775"/>
      <c r="AH269" s="775"/>
      <c r="AI269" s="774"/>
      <c r="AJ269" s="774"/>
      <c r="AK269" s="775"/>
      <c r="AL269" s="775"/>
      <c r="AM269" s="774"/>
      <c r="AN269" s="774"/>
      <c r="AO269" s="806"/>
      <c r="AP269" s="775"/>
      <c r="AQ269" s="716"/>
    </row>
    <row r="270" spans="1:43" s="786" customFormat="1" ht="15.5">
      <c r="A270" s="761"/>
      <c r="B270" s="762"/>
      <c r="C270" s="746"/>
      <c r="D270" s="736"/>
      <c r="E270" s="737"/>
      <c r="F270" s="747"/>
      <c r="G270" s="775"/>
      <c r="H270" s="775"/>
      <c r="I270" s="775"/>
      <c r="J270" s="775"/>
      <c r="K270" s="775"/>
      <c r="L270" s="775"/>
      <c r="M270" s="775"/>
      <c r="N270" s="775"/>
      <c r="O270" s="775"/>
      <c r="P270" s="775"/>
      <c r="Q270" s="775"/>
      <c r="R270" s="775"/>
      <c r="S270" s="775"/>
      <c r="T270" s="774"/>
      <c r="U270" s="775"/>
      <c r="V270" s="775"/>
      <c r="W270" s="775"/>
      <c r="X270" s="774"/>
      <c r="Y270" s="775"/>
      <c r="Z270" s="775"/>
      <c r="AA270" s="774"/>
      <c r="AB270" s="774"/>
      <c r="AC270" s="775"/>
      <c r="AD270" s="775"/>
      <c r="AE270" s="774"/>
      <c r="AF270" s="774"/>
      <c r="AG270" s="775"/>
      <c r="AH270" s="775"/>
      <c r="AI270" s="774"/>
      <c r="AJ270" s="774"/>
      <c r="AK270" s="775"/>
      <c r="AL270" s="775"/>
      <c r="AM270" s="774"/>
      <c r="AN270" s="774"/>
      <c r="AO270" s="806"/>
      <c r="AP270" s="775"/>
      <c r="AQ270" s="716"/>
    </row>
    <row r="271" spans="1:43" s="786" customFormat="1" ht="15.5">
      <c r="A271" s="761"/>
      <c r="B271" s="762"/>
      <c r="C271" s="746"/>
      <c r="D271" s="736"/>
      <c r="E271" s="737"/>
      <c r="F271" s="747"/>
      <c r="G271" s="775"/>
      <c r="H271" s="775"/>
      <c r="I271" s="775"/>
      <c r="J271" s="775"/>
      <c r="K271" s="775"/>
      <c r="L271" s="775"/>
      <c r="M271" s="775"/>
      <c r="N271" s="775"/>
      <c r="O271" s="775"/>
      <c r="P271" s="775"/>
      <c r="Q271" s="775"/>
      <c r="R271" s="775"/>
      <c r="S271" s="775"/>
      <c r="T271" s="774"/>
      <c r="U271" s="775"/>
      <c r="V271" s="775"/>
      <c r="W271" s="775"/>
      <c r="X271" s="774"/>
      <c r="Y271" s="775"/>
      <c r="Z271" s="775"/>
      <c r="AA271" s="774"/>
      <c r="AB271" s="774"/>
      <c r="AC271" s="775"/>
      <c r="AD271" s="775"/>
      <c r="AE271" s="774"/>
      <c r="AF271" s="774"/>
      <c r="AG271" s="775"/>
      <c r="AH271" s="775"/>
      <c r="AI271" s="774"/>
      <c r="AJ271" s="774"/>
      <c r="AK271" s="775"/>
      <c r="AL271" s="775"/>
      <c r="AM271" s="774"/>
      <c r="AN271" s="774"/>
      <c r="AO271" s="806"/>
      <c r="AP271" s="775"/>
      <c r="AQ271" s="716"/>
    </row>
    <row r="272" spans="1:43" s="786" customFormat="1" ht="15.5">
      <c r="A272" s="761"/>
      <c r="B272" s="762"/>
      <c r="C272" s="746"/>
      <c r="D272" s="736"/>
      <c r="E272" s="737"/>
      <c r="F272" s="747"/>
      <c r="G272" s="775"/>
      <c r="H272" s="775"/>
      <c r="I272" s="775"/>
      <c r="J272" s="775"/>
      <c r="K272" s="775"/>
      <c r="L272" s="775"/>
      <c r="M272" s="775"/>
      <c r="N272" s="775"/>
      <c r="O272" s="775"/>
      <c r="P272" s="775"/>
      <c r="Q272" s="775"/>
      <c r="R272" s="775"/>
      <c r="S272" s="775"/>
      <c r="T272" s="774"/>
      <c r="U272" s="775"/>
      <c r="V272" s="775"/>
      <c r="W272" s="775"/>
      <c r="X272" s="774"/>
      <c r="Y272" s="775"/>
      <c r="Z272" s="775"/>
      <c r="AA272" s="774"/>
      <c r="AB272" s="774"/>
      <c r="AC272" s="775"/>
      <c r="AD272" s="775"/>
      <c r="AE272" s="774"/>
      <c r="AF272" s="774"/>
      <c r="AG272" s="775"/>
      <c r="AH272" s="775"/>
      <c r="AI272" s="774"/>
      <c r="AJ272" s="774"/>
      <c r="AK272" s="775"/>
      <c r="AL272" s="775"/>
      <c r="AM272" s="774"/>
      <c r="AN272" s="774"/>
      <c r="AO272" s="806"/>
      <c r="AP272" s="775"/>
      <c r="AQ272" s="716"/>
    </row>
    <row r="273" spans="1:43" s="786" customFormat="1" ht="15.5">
      <c r="A273" s="761"/>
      <c r="B273" s="762"/>
      <c r="C273" s="746"/>
      <c r="D273" s="736"/>
      <c r="E273" s="737"/>
      <c r="F273" s="747"/>
      <c r="G273" s="775"/>
      <c r="H273" s="775"/>
      <c r="I273" s="775"/>
      <c r="J273" s="775"/>
      <c r="K273" s="775"/>
      <c r="L273" s="775"/>
      <c r="M273" s="775"/>
      <c r="N273" s="775"/>
      <c r="O273" s="775"/>
      <c r="P273" s="775"/>
      <c r="Q273" s="775"/>
      <c r="R273" s="775"/>
      <c r="S273" s="775"/>
      <c r="T273" s="774"/>
      <c r="U273" s="775"/>
      <c r="V273" s="775"/>
      <c r="W273" s="775"/>
      <c r="X273" s="774"/>
      <c r="Y273" s="775"/>
      <c r="Z273" s="775"/>
      <c r="AA273" s="774"/>
      <c r="AB273" s="774"/>
      <c r="AC273" s="775"/>
      <c r="AD273" s="775"/>
      <c r="AE273" s="774"/>
      <c r="AF273" s="774"/>
      <c r="AG273" s="775"/>
      <c r="AH273" s="775"/>
      <c r="AI273" s="774"/>
      <c r="AJ273" s="774"/>
      <c r="AK273" s="775"/>
      <c r="AL273" s="775"/>
      <c r="AM273" s="774"/>
      <c r="AN273" s="774"/>
      <c r="AO273" s="806"/>
      <c r="AP273" s="775"/>
      <c r="AQ273" s="716"/>
    </row>
    <row r="274" spans="1:43" s="786" customFormat="1" ht="15.5">
      <c r="A274" s="761"/>
      <c r="B274" s="762"/>
      <c r="C274" s="746"/>
      <c r="D274" s="736"/>
      <c r="E274" s="737"/>
      <c r="F274" s="747"/>
      <c r="G274" s="775"/>
      <c r="H274" s="775"/>
      <c r="I274" s="775"/>
      <c r="J274" s="775"/>
      <c r="K274" s="775"/>
      <c r="L274" s="775"/>
      <c r="M274" s="775"/>
      <c r="N274" s="775"/>
      <c r="O274" s="775"/>
      <c r="P274" s="775"/>
      <c r="Q274" s="775"/>
      <c r="R274" s="775"/>
      <c r="S274" s="775"/>
      <c r="T274" s="774"/>
      <c r="U274" s="775"/>
      <c r="V274" s="775"/>
      <c r="W274" s="775"/>
      <c r="X274" s="774"/>
      <c r="Y274" s="775"/>
      <c r="Z274" s="775"/>
      <c r="AA274" s="774"/>
      <c r="AB274" s="774"/>
      <c r="AC274" s="775"/>
      <c r="AD274" s="775"/>
      <c r="AE274" s="774"/>
      <c r="AF274" s="774"/>
      <c r="AG274" s="775"/>
      <c r="AH274" s="775"/>
      <c r="AI274" s="774"/>
      <c r="AJ274" s="774"/>
      <c r="AK274" s="775"/>
      <c r="AL274" s="775"/>
      <c r="AM274" s="774"/>
      <c r="AN274" s="774"/>
      <c r="AO274" s="806"/>
      <c r="AP274" s="775"/>
      <c r="AQ274" s="716"/>
    </row>
    <row r="275" spans="1:43" s="786" customFormat="1" ht="15.5">
      <c r="A275" s="761"/>
      <c r="B275" s="762"/>
      <c r="C275" s="746"/>
      <c r="D275" s="736"/>
      <c r="E275" s="737"/>
      <c r="F275" s="747"/>
      <c r="G275" s="775"/>
      <c r="H275" s="775"/>
      <c r="I275" s="775"/>
      <c r="J275" s="775"/>
      <c r="K275" s="775"/>
      <c r="L275" s="775"/>
      <c r="M275" s="775"/>
      <c r="N275" s="775"/>
      <c r="O275" s="775"/>
      <c r="P275" s="775"/>
      <c r="Q275" s="775"/>
      <c r="R275" s="775"/>
      <c r="S275" s="775"/>
      <c r="T275" s="774"/>
      <c r="U275" s="775"/>
      <c r="V275" s="775"/>
      <c r="W275" s="775"/>
      <c r="X275" s="774"/>
      <c r="Y275" s="775"/>
      <c r="Z275" s="775"/>
      <c r="AA275" s="774"/>
      <c r="AB275" s="774"/>
      <c r="AC275" s="775"/>
      <c r="AD275" s="775"/>
      <c r="AE275" s="774"/>
      <c r="AF275" s="774"/>
      <c r="AG275" s="775"/>
      <c r="AH275" s="775"/>
      <c r="AI275" s="774"/>
      <c r="AJ275" s="774"/>
      <c r="AK275" s="775"/>
      <c r="AL275" s="775"/>
      <c r="AM275" s="774"/>
      <c r="AN275" s="774"/>
      <c r="AO275" s="806"/>
      <c r="AP275" s="775"/>
      <c r="AQ275" s="716"/>
    </row>
    <row r="276" spans="1:43" s="786" customFormat="1" ht="15.5">
      <c r="A276" s="761"/>
      <c r="B276" s="762"/>
      <c r="C276" s="746"/>
      <c r="D276" s="736"/>
      <c r="E276" s="737"/>
      <c r="F276" s="747"/>
      <c r="G276" s="775"/>
      <c r="H276" s="775"/>
      <c r="I276" s="775"/>
      <c r="J276" s="775"/>
      <c r="K276" s="775"/>
      <c r="L276" s="775"/>
      <c r="M276" s="775"/>
      <c r="N276" s="775"/>
      <c r="O276" s="775"/>
      <c r="P276" s="775"/>
      <c r="Q276" s="775"/>
      <c r="R276" s="775"/>
      <c r="S276" s="775"/>
      <c r="T276" s="774"/>
      <c r="U276" s="775"/>
      <c r="V276" s="775"/>
      <c r="W276" s="775"/>
      <c r="X276" s="774"/>
      <c r="Y276" s="775"/>
      <c r="Z276" s="775"/>
      <c r="AA276" s="774"/>
      <c r="AB276" s="774"/>
      <c r="AC276" s="775"/>
      <c r="AD276" s="775"/>
      <c r="AE276" s="774"/>
      <c r="AF276" s="774"/>
      <c r="AG276" s="775"/>
      <c r="AH276" s="775"/>
      <c r="AI276" s="774"/>
      <c r="AJ276" s="774"/>
      <c r="AK276" s="775"/>
      <c r="AL276" s="775"/>
      <c r="AM276" s="774"/>
      <c r="AN276" s="774"/>
      <c r="AO276" s="806"/>
      <c r="AP276" s="775"/>
      <c r="AQ276" s="716"/>
    </row>
    <row r="277" spans="1:43" s="786" customFormat="1" ht="15.5">
      <c r="A277" s="761"/>
      <c r="B277" s="762"/>
      <c r="C277" s="746"/>
      <c r="D277" s="736"/>
      <c r="E277" s="737"/>
      <c r="F277" s="747"/>
      <c r="G277" s="775"/>
      <c r="H277" s="775"/>
      <c r="I277" s="775"/>
      <c r="J277" s="775"/>
      <c r="K277" s="775"/>
      <c r="L277" s="775"/>
      <c r="M277" s="775"/>
      <c r="N277" s="775"/>
      <c r="O277" s="775"/>
      <c r="P277" s="775"/>
      <c r="Q277" s="775"/>
      <c r="R277" s="775"/>
      <c r="S277" s="775"/>
      <c r="T277" s="774"/>
      <c r="U277" s="775"/>
      <c r="V277" s="775"/>
      <c r="W277" s="775"/>
      <c r="X277" s="774"/>
      <c r="Y277" s="775"/>
      <c r="Z277" s="775"/>
      <c r="AA277" s="774"/>
      <c r="AB277" s="774"/>
      <c r="AC277" s="775"/>
      <c r="AD277" s="775"/>
      <c r="AE277" s="774"/>
      <c r="AF277" s="774"/>
      <c r="AG277" s="775"/>
      <c r="AH277" s="775"/>
      <c r="AI277" s="774"/>
      <c r="AJ277" s="774"/>
      <c r="AK277" s="775"/>
      <c r="AL277" s="775"/>
      <c r="AM277" s="774"/>
      <c r="AN277" s="774"/>
      <c r="AO277" s="806"/>
      <c r="AP277" s="775"/>
      <c r="AQ277" s="716"/>
    </row>
    <row r="278" spans="1:43" s="786" customFormat="1" ht="15.5">
      <c r="A278" s="761"/>
      <c r="B278" s="762"/>
      <c r="C278" s="746"/>
      <c r="D278" s="736"/>
      <c r="E278" s="737"/>
      <c r="F278" s="747"/>
      <c r="G278" s="775"/>
      <c r="H278" s="775"/>
      <c r="I278" s="775"/>
      <c r="J278" s="775"/>
      <c r="K278" s="775"/>
      <c r="L278" s="775"/>
      <c r="M278" s="775"/>
      <c r="N278" s="775"/>
      <c r="O278" s="775"/>
      <c r="P278" s="775"/>
      <c r="Q278" s="775"/>
      <c r="R278" s="775"/>
      <c r="S278" s="775"/>
      <c r="T278" s="774"/>
      <c r="U278" s="775"/>
      <c r="V278" s="775"/>
      <c r="W278" s="775"/>
      <c r="X278" s="774"/>
      <c r="Y278" s="775"/>
      <c r="Z278" s="775"/>
      <c r="AA278" s="774"/>
      <c r="AB278" s="774"/>
      <c r="AC278" s="775"/>
      <c r="AD278" s="775"/>
      <c r="AE278" s="774"/>
      <c r="AF278" s="774"/>
      <c r="AG278" s="775"/>
      <c r="AH278" s="775"/>
      <c r="AI278" s="774"/>
      <c r="AJ278" s="774"/>
      <c r="AK278" s="775"/>
      <c r="AL278" s="775"/>
      <c r="AM278" s="774"/>
      <c r="AN278" s="774"/>
      <c r="AO278" s="806"/>
      <c r="AP278" s="775"/>
      <c r="AQ278" s="716"/>
    </row>
    <row r="279" spans="1:43" s="786" customFormat="1" ht="16" thickBot="1">
      <c r="A279" s="761"/>
      <c r="B279" s="762"/>
      <c r="C279" s="746"/>
      <c r="D279" s="736"/>
      <c r="E279" s="737"/>
      <c r="F279" s="747"/>
      <c r="G279" s="775"/>
      <c r="H279" s="775"/>
      <c r="I279" s="775"/>
      <c r="J279" s="775"/>
      <c r="K279" s="775"/>
      <c r="L279" s="775"/>
      <c r="M279" s="775"/>
      <c r="N279" s="775"/>
      <c r="O279" s="775"/>
      <c r="P279" s="775"/>
      <c r="Q279" s="775"/>
      <c r="R279" s="775"/>
      <c r="S279" s="775"/>
      <c r="T279" s="774"/>
      <c r="U279" s="775"/>
      <c r="V279" s="775"/>
      <c r="W279" s="775"/>
      <c r="X279" s="774"/>
      <c r="Y279" s="775"/>
      <c r="Z279" s="775"/>
      <c r="AA279" s="774"/>
      <c r="AB279" s="774"/>
      <c r="AC279" s="775"/>
      <c r="AD279" s="775"/>
      <c r="AE279" s="774"/>
      <c r="AF279" s="774"/>
      <c r="AG279" s="775"/>
      <c r="AH279" s="775"/>
      <c r="AI279" s="774"/>
      <c r="AJ279" s="774"/>
      <c r="AK279" s="775"/>
      <c r="AL279" s="775"/>
      <c r="AM279" s="774"/>
      <c r="AN279" s="774"/>
      <c r="AO279" s="806"/>
      <c r="AP279" s="775"/>
      <c r="AQ279" s="716"/>
    </row>
    <row r="280" spans="1:43" s="786" customFormat="1" ht="16" thickTop="1">
      <c r="A280" s="781"/>
      <c r="B280" s="782"/>
      <c r="C280" s="783"/>
      <c r="D280" s="784"/>
      <c r="E280" s="785"/>
      <c r="F280" s="851"/>
      <c r="G280" s="775"/>
      <c r="H280" s="775"/>
      <c r="I280" s="775"/>
      <c r="J280" s="775"/>
      <c r="K280" s="775"/>
      <c r="L280" s="775"/>
      <c r="M280" s="775"/>
      <c r="N280" s="775"/>
      <c r="O280" s="775"/>
      <c r="P280" s="775"/>
      <c r="Q280" s="775"/>
      <c r="R280" s="775"/>
      <c r="S280" s="775"/>
      <c r="T280" s="774"/>
      <c r="U280" s="775"/>
      <c r="V280" s="775"/>
      <c r="W280" s="775"/>
      <c r="X280" s="774"/>
      <c r="Y280" s="775"/>
      <c r="Z280" s="775"/>
      <c r="AA280" s="774"/>
      <c r="AB280" s="774"/>
      <c r="AC280" s="775"/>
      <c r="AD280" s="775"/>
      <c r="AE280" s="774"/>
      <c r="AF280" s="774"/>
      <c r="AG280" s="775"/>
      <c r="AH280" s="775"/>
      <c r="AI280" s="774"/>
      <c r="AJ280" s="774"/>
      <c r="AK280" s="775"/>
      <c r="AL280" s="775"/>
      <c r="AM280" s="774"/>
      <c r="AN280" s="774"/>
      <c r="AO280" s="806"/>
      <c r="AP280" s="775"/>
      <c r="AQ280" s="716"/>
    </row>
    <row r="281" spans="1:43" s="786" customFormat="1" ht="15.5">
      <c r="A281" s="787"/>
      <c r="B281" s="788" t="s">
        <v>301</v>
      </c>
      <c r="C281" s="789"/>
      <c r="D281" s="790"/>
      <c r="E281" s="791"/>
      <c r="F281" s="852"/>
      <c r="G281" s="775"/>
      <c r="H281" s="775"/>
      <c r="I281" s="775"/>
      <c r="J281" s="775"/>
      <c r="K281" s="775"/>
      <c r="L281" s="775"/>
      <c r="M281" s="775"/>
      <c r="N281" s="775"/>
      <c r="O281" s="775"/>
      <c r="P281" s="775"/>
      <c r="Q281" s="775"/>
      <c r="R281" s="775"/>
      <c r="S281" s="775"/>
      <c r="T281" s="774"/>
      <c r="U281" s="775"/>
      <c r="V281" s="775"/>
      <c r="W281" s="775"/>
      <c r="X281" s="774"/>
      <c r="Y281" s="775"/>
      <c r="Z281" s="775"/>
      <c r="AA281" s="774"/>
      <c r="AB281" s="774"/>
      <c r="AC281" s="775"/>
      <c r="AD281" s="775"/>
      <c r="AE281" s="774"/>
      <c r="AF281" s="774"/>
      <c r="AG281" s="775"/>
      <c r="AH281" s="775"/>
      <c r="AI281" s="774"/>
      <c r="AJ281" s="774"/>
      <c r="AK281" s="775"/>
      <c r="AL281" s="775"/>
      <c r="AM281" s="774"/>
      <c r="AN281" s="774"/>
      <c r="AO281" s="806"/>
      <c r="AP281" s="775"/>
      <c r="AQ281" s="716"/>
    </row>
    <row r="282" spans="1:43" s="786" customFormat="1" ht="16" thickBot="1">
      <c r="A282" s="792"/>
      <c r="B282" s="793"/>
      <c r="C282" s="794"/>
      <c r="D282" s="795"/>
      <c r="E282" s="796"/>
      <c r="F282" s="853"/>
      <c r="G282" s="775"/>
      <c r="H282" s="775"/>
      <c r="I282" s="775"/>
      <c r="J282" s="775"/>
      <c r="K282" s="775"/>
      <c r="L282" s="775"/>
      <c r="M282" s="775"/>
      <c r="N282" s="775"/>
      <c r="O282" s="775"/>
      <c r="P282" s="775"/>
      <c r="Q282" s="775"/>
      <c r="R282" s="775"/>
      <c r="S282" s="775"/>
      <c r="T282" s="774"/>
      <c r="U282" s="775"/>
      <c r="V282" s="775"/>
      <c r="W282" s="775"/>
      <c r="X282" s="774"/>
      <c r="Y282" s="775"/>
      <c r="Z282" s="775"/>
      <c r="AA282" s="774"/>
      <c r="AB282" s="774"/>
      <c r="AC282" s="775"/>
      <c r="AD282" s="775"/>
      <c r="AE282" s="774"/>
      <c r="AF282" s="774"/>
      <c r="AG282" s="775"/>
      <c r="AH282" s="775"/>
      <c r="AI282" s="774"/>
      <c r="AJ282" s="774"/>
      <c r="AK282" s="775"/>
      <c r="AL282" s="775"/>
      <c r="AM282" s="774"/>
      <c r="AN282" s="774"/>
      <c r="AO282" s="806"/>
      <c r="AP282" s="775"/>
      <c r="AQ282" s="716"/>
    </row>
    <row r="283" spans="1:43" s="786" customFormat="1" ht="16" thickTop="1">
      <c r="A283" s="816"/>
      <c r="B283" s="892"/>
      <c r="C283" s="876"/>
      <c r="D283" s="877"/>
      <c r="E283" s="878"/>
      <c r="F283" s="879"/>
      <c r="G283" s="775"/>
      <c r="H283" s="775"/>
      <c r="I283" s="775"/>
      <c r="J283" s="775"/>
      <c r="K283" s="775"/>
      <c r="L283" s="775"/>
      <c r="M283" s="775"/>
      <c r="N283" s="775"/>
      <c r="O283" s="775"/>
      <c r="P283" s="775"/>
      <c r="Q283" s="775"/>
      <c r="R283" s="775"/>
      <c r="S283" s="775"/>
      <c r="T283" s="774"/>
      <c r="U283" s="775"/>
      <c r="V283" s="775"/>
      <c r="W283" s="775"/>
      <c r="X283" s="774"/>
      <c r="Y283" s="775"/>
      <c r="Z283" s="775"/>
      <c r="AA283" s="774"/>
      <c r="AB283" s="774"/>
      <c r="AC283" s="775"/>
      <c r="AD283" s="775"/>
      <c r="AE283" s="774"/>
      <c r="AF283" s="774"/>
      <c r="AG283" s="775"/>
      <c r="AH283" s="775"/>
      <c r="AI283" s="774"/>
      <c r="AJ283" s="774"/>
      <c r="AK283" s="775"/>
      <c r="AL283" s="775"/>
      <c r="AM283" s="774"/>
      <c r="AN283" s="774"/>
      <c r="AO283" s="806"/>
      <c r="AP283" s="775"/>
      <c r="AQ283" s="716"/>
    </row>
    <row r="284" spans="1:43" s="786" customFormat="1" ht="139.5">
      <c r="A284" s="761" t="s">
        <v>1258</v>
      </c>
      <c r="B284" s="762" t="s">
        <v>1325</v>
      </c>
      <c r="C284" s="772" t="s">
        <v>10</v>
      </c>
      <c r="D284" s="813">
        <v>2</v>
      </c>
      <c r="E284" s="814"/>
      <c r="F284" s="885">
        <f>D284*E284</f>
        <v>0</v>
      </c>
      <c r="G284" s="775"/>
      <c r="H284" s="775"/>
      <c r="I284" s="775"/>
      <c r="J284" s="775"/>
      <c r="K284" s="775"/>
      <c r="L284" s="775"/>
      <c r="M284" s="775"/>
      <c r="N284" s="775"/>
      <c r="O284" s="775"/>
      <c r="P284" s="775"/>
      <c r="Q284" s="775"/>
      <c r="R284" s="775"/>
      <c r="S284" s="775"/>
      <c r="T284" s="774"/>
      <c r="U284" s="775"/>
      <c r="V284" s="775"/>
      <c r="W284" s="775"/>
      <c r="X284" s="774"/>
      <c r="Y284" s="775"/>
      <c r="Z284" s="775"/>
      <c r="AA284" s="774"/>
      <c r="AB284" s="774"/>
      <c r="AC284" s="775"/>
      <c r="AD284" s="775"/>
      <c r="AE284" s="774"/>
      <c r="AF284" s="774"/>
      <c r="AG284" s="775"/>
      <c r="AH284" s="775"/>
      <c r="AI284" s="774"/>
      <c r="AJ284" s="774"/>
      <c r="AK284" s="775"/>
      <c r="AL284" s="775"/>
      <c r="AM284" s="774"/>
      <c r="AN284" s="774"/>
      <c r="AO284" s="806"/>
      <c r="AP284" s="775"/>
      <c r="AQ284" s="716"/>
    </row>
    <row r="285" spans="1:43" s="786" customFormat="1" ht="15.5">
      <c r="A285" s="763"/>
      <c r="B285" s="764"/>
      <c r="C285" s="746"/>
      <c r="D285" s="736"/>
      <c r="E285" s="737"/>
      <c r="F285" s="747"/>
      <c r="G285" s="775"/>
      <c r="H285" s="775"/>
      <c r="I285" s="775"/>
      <c r="J285" s="775"/>
      <c r="K285" s="775"/>
      <c r="L285" s="775"/>
      <c r="M285" s="775"/>
      <c r="N285" s="775"/>
      <c r="O285" s="775"/>
      <c r="P285" s="775"/>
      <c r="Q285" s="775"/>
      <c r="R285" s="775"/>
      <c r="S285" s="775"/>
      <c r="T285" s="774"/>
      <c r="U285" s="775"/>
      <c r="V285" s="775"/>
      <c r="W285" s="775"/>
      <c r="X285" s="774"/>
      <c r="Y285" s="775"/>
      <c r="Z285" s="775"/>
      <c r="AA285" s="774"/>
      <c r="AB285" s="774"/>
      <c r="AC285" s="775"/>
      <c r="AD285" s="775"/>
      <c r="AE285" s="774"/>
      <c r="AF285" s="774"/>
      <c r="AG285" s="775"/>
      <c r="AH285" s="775"/>
      <c r="AI285" s="774"/>
      <c r="AJ285" s="774"/>
      <c r="AK285" s="775"/>
      <c r="AL285" s="775"/>
      <c r="AM285" s="774"/>
      <c r="AN285" s="774"/>
      <c r="AO285" s="806"/>
      <c r="AP285" s="775"/>
    </row>
    <row r="286" spans="1:43" s="786" customFormat="1" ht="139.5">
      <c r="A286" s="761" t="s">
        <v>1324</v>
      </c>
      <c r="B286" s="762" t="s">
        <v>1326</v>
      </c>
      <c r="C286" s="772" t="s">
        <v>10</v>
      </c>
      <c r="D286" s="815">
        <v>2</v>
      </c>
      <c r="E286" s="814"/>
      <c r="F286" s="885">
        <f>D286*E286</f>
        <v>0</v>
      </c>
      <c r="G286" s="775"/>
      <c r="H286" s="775"/>
      <c r="I286" s="775"/>
      <c r="J286" s="775"/>
      <c r="K286" s="775"/>
      <c r="L286" s="775"/>
      <c r="M286" s="775"/>
      <c r="N286" s="775"/>
      <c r="O286" s="775"/>
      <c r="P286" s="775"/>
      <c r="Q286" s="775"/>
      <c r="R286" s="775"/>
      <c r="S286" s="775"/>
      <c r="T286" s="774"/>
      <c r="U286" s="775"/>
      <c r="V286" s="775"/>
      <c r="W286" s="775"/>
      <c r="X286" s="774"/>
      <c r="Y286" s="775"/>
      <c r="Z286" s="775"/>
      <c r="AA286" s="774"/>
      <c r="AB286" s="774"/>
      <c r="AC286" s="775"/>
      <c r="AD286" s="775"/>
      <c r="AE286" s="774"/>
      <c r="AF286" s="774"/>
      <c r="AG286" s="775"/>
      <c r="AH286" s="775"/>
      <c r="AI286" s="774"/>
      <c r="AJ286" s="774"/>
      <c r="AK286" s="775"/>
      <c r="AL286" s="775"/>
      <c r="AM286" s="774"/>
      <c r="AN286" s="774"/>
      <c r="AO286" s="806"/>
      <c r="AP286" s="775"/>
    </row>
    <row r="287" spans="1:43" s="786" customFormat="1" ht="15.5">
      <c r="A287" s="739"/>
      <c r="B287" s="802"/>
      <c r="C287" s="746"/>
      <c r="D287" s="760"/>
      <c r="E287" s="737"/>
      <c r="F287" s="885">
        <f>D287*E287</f>
        <v>0</v>
      </c>
      <c r="G287" s="775"/>
      <c r="H287" s="775"/>
      <c r="I287" s="775"/>
      <c r="J287" s="775"/>
      <c r="K287" s="775"/>
      <c r="L287" s="775"/>
      <c r="M287" s="775"/>
      <c r="N287" s="775"/>
      <c r="O287" s="775"/>
      <c r="P287" s="775"/>
      <c r="Q287" s="775"/>
      <c r="R287" s="775"/>
      <c r="S287" s="775"/>
      <c r="T287" s="774"/>
      <c r="U287" s="775"/>
      <c r="V287" s="775"/>
      <c r="W287" s="775"/>
      <c r="X287" s="774"/>
      <c r="Y287" s="775"/>
      <c r="Z287" s="775"/>
      <c r="AA287" s="774"/>
      <c r="AB287" s="774"/>
      <c r="AC287" s="775"/>
      <c r="AD287" s="775"/>
      <c r="AE287" s="774"/>
      <c r="AF287" s="774"/>
      <c r="AG287" s="775"/>
      <c r="AH287" s="775"/>
      <c r="AI287" s="774"/>
      <c r="AJ287" s="774"/>
      <c r="AK287" s="775"/>
      <c r="AL287" s="775"/>
      <c r="AM287" s="774"/>
      <c r="AN287" s="774"/>
      <c r="AO287" s="806"/>
      <c r="AP287" s="775"/>
    </row>
    <row r="288" spans="1:43" s="786" customFormat="1" ht="77.5">
      <c r="A288" s="761" t="s">
        <v>1336</v>
      </c>
      <c r="B288" s="762" t="s">
        <v>1337</v>
      </c>
      <c r="C288" s="772" t="s">
        <v>10</v>
      </c>
      <c r="D288" s="773">
        <v>4</v>
      </c>
      <c r="E288" s="814"/>
      <c r="F288" s="885">
        <f>D288*E288</f>
        <v>0</v>
      </c>
      <c r="G288" s="775"/>
      <c r="H288" s="775"/>
      <c r="I288" s="775"/>
      <c r="J288" s="775"/>
      <c r="K288" s="775"/>
      <c r="L288" s="775"/>
      <c r="M288" s="775"/>
      <c r="N288" s="775"/>
      <c r="O288" s="775"/>
      <c r="P288" s="775"/>
      <c r="Q288" s="775"/>
      <c r="R288" s="775"/>
      <c r="S288" s="775"/>
      <c r="T288" s="774"/>
      <c r="U288" s="775"/>
      <c r="V288" s="775"/>
      <c r="W288" s="775"/>
      <c r="X288" s="774"/>
      <c r="Y288" s="775"/>
      <c r="Z288" s="775"/>
      <c r="AA288" s="774"/>
      <c r="AB288" s="774"/>
      <c r="AC288" s="775"/>
      <c r="AD288" s="775"/>
      <c r="AE288" s="774"/>
      <c r="AF288" s="774"/>
      <c r="AG288" s="775"/>
      <c r="AH288" s="775"/>
      <c r="AI288" s="774"/>
      <c r="AJ288" s="774"/>
      <c r="AK288" s="775"/>
      <c r="AL288" s="775"/>
      <c r="AM288" s="774"/>
      <c r="AN288" s="774"/>
      <c r="AO288" s="806"/>
      <c r="AP288" s="775"/>
    </row>
    <row r="289" spans="1:42" s="786" customFormat="1" ht="15.5">
      <c r="A289" s="739"/>
      <c r="B289" s="757"/>
      <c r="C289" s="746"/>
      <c r="D289" s="760"/>
      <c r="E289" s="737"/>
      <c r="F289" s="747"/>
      <c r="G289" s="775"/>
      <c r="H289" s="775"/>
      <c r="I289" s="775"/>
      <c r="J289" s="775"/>
      <c r="K289" s="775"/>
      <c r="L289" s="775"/>
      <c r="M289" s="775"/>
      <c r="N289" s="775"/>
      <c r="O289" s="775"/>
      <c r="P289" s="775"/>
      <c r="Q289" s="775"/>
      <c r="R289" s="775"/>
      <c r="S289" s="775"/>
      <c r="T289" s="774"/>
      <c r="U289" s="775"/>
      <c r="V289" s="775"/>
      <c r="W289" s="775"/>
      <c r="X289" s="774"/>
      <c r="Y289" s="775"/>
      <c r="Z289" s="775"/>
      <c r="AA289" s="774"/>
      <c r="AB289" s="774"/>
      <c r="AC289" s="775"/>
      <c r="AD289" s="775"/>
      <c r="AE289" s="774"/>
      <c r="AF289" s="774"/>
      <c r="AG289" s="775"/>
      <c r="AH289" s="775"/>
      <c r="AI289" s="774"/>
      <c r="AJ289" s="774"/>
      <c r="AK289" s="775"/>
      <c r="AL289" s="775"/>
      <c r="AM289" s="774"/>
      <c r="AN289" s="774"/>
      <c r="AO289" s="806"/>
      <c r="AP289" s="775"/>
    </row>
    <row r="290" spans="1:42" s="786" customFormat="1" ht="15.5">
      <c r="A290" s="739"/>
      <c r="B290" s="757"/>
      <c r="C290" s="746"/>
      <c r="D290" s="760"/>
      <c r="E290" s="737"/>
      <c r="F290" s="747"/>
      <c r="G290" s="775"/>
      <c r="H290" s="775"/>
      <c r="I290" s="775"/>
      <c r="J290" s="775"/>
      <c r="K290" s="775"/>
      <c r="L290" s="775"/>
      <c r="M290" s="775"/>
      <c r="N290" s="775"/>
      <c r="O290" s="775"/>
      <c r="P290" s="775"/>
      <c r="Q290" s="775"/>
      <c r="R290" s="775"/>
      <c r="S290" s="775"/>
      <c r="T290" s="774"/>
      <c r="U290" s="775"/>
      <c r="V290" s="775"/>
      <c r="W290" s="775"/>
      <c r="X290" s="774"/>
      <c r="Y290" s="775"/>
      <c r="Z290" s="775"/>
      <c r="AA290" s="774"/>
      <c r="AB290" s="774"/>
      <c r="AC290" s="775"/>
      <c r="AD290" s="775"/>
      <c r="AE290" s="774"/>
      <c r="AF290" s="774"/>
      <c r="AG290" s="775"/>
      <c r="AH290" s="775"/>
      <c r="AI290" s="774"/>
      <c r="AJ290" s="774"/>
      <c r="AK290" s="775"/>
      <c r="AL290" s="775"/>
      <c r="AM290" s="774"/>
      <c r="AN290" s="774"/>
      <c r="AO290" s="806"/>
      <c r="AP290" s="775"/>
    </row>
    <row r="291" spans="1:42" s="786" customFormat="1" ht="15.5">
      <c r="A291" s="763"/>
      <c r="B291" s="764"/>
      <c r="C291" s="746"/>
      <c r="D291" s="736"/>
      <c r="E291" s="737"/>
      <c r="F291" s="747"/>
      <c r="G291" s="775"/>
      <c r="H291" s="775"/>
      <c r="I291" s="775"/>
      <c r="J291" s="775"/>
      <c r="K291" s="775"/>
      <c r="L291" s="775"/>
      <c r="M291" s="775"/>
      <c r="N291" s="775"/>
      <c r="O291" s="775"/>
      <c r="P291" s="775"/>
      <c r="Q291" s="775"/>
      <c r="R291" s="775"/>
      <c r="S291" s="775"/>
      <c r="T291" s="774"/>
      <c r="U291" s="775"/>
      <c r="V291" s="775"/>
      <c r="W291" s="775"/>
      <c r="X291" s="774"/>
      <c r="Y291" s="775"/>
      <c r="Z291" s="775"/>
      <c r="AA291" s="774"/>
      <c r="AB291" s="774"/>
      <c r="AC291" s="775"/>
      <c r="AD291" s="775"/>
      <c r="AE291" s="774"/>
      <c r="AF291" s="774"/>
      <c r="AG291" s="775"/>
      <c r="AH291" s="775"/>
      <c r="AI291" s="774"/>
      <c r="AJ291" s="774"/>
      <c r="AK291" s="775"/>
      <c r="AL291" s="775"/>
      <c r="AM291" s="774"/>
      <c r="AN291" s="774"/>
      <c r="AO291" s="806"/>
      <c r="AP291" s="775"/>
    </row>
    <row r="292" spans="1:42" s="786" customFormat="1" ht="15.5">
      <c r="A292" s="739"/>
      <c r="B292" s="757"/>
      <c r="C292" s="746"/>
      <c r="D292" s="760"/>
      <c r="E292" s="737"/>
      <c r="F292" s="747"/>
      <c r="G292" s="775"/>
      <c r="H292" s="775"/>
      <c r="I292" s="775"/>
      <c r="J292" s="775"/>
      <c r="K292" s="775"/>
      <c r="L292" s="775"/>
      <c r="M292" s="775"/>
      <c r="N292" s="775"/>
      <c r="O292" s="775"/>
      <c r="P292" s="775"/>
      <c r="Q292" s="775"/>
      <c r="R292" s="775"/>
      <c r="S292" s="775"/>
      <c r="T292" s="774"/>
      <c r="U292" s="775"/>
      <c r="V292" s="775"/>
      <c r="W292" s="775"/>
      <c r="X292" s="774"/>
      <c r="Y292" s="775"/>
      <c r="Z292" s="775"/>
      <c r="AA292" s="774"/>
      <c r="AB292" s="774"/>
      <c r="AC292" s="775"/>
      <c r="AD292" s="775"/>
      <c r="AE292" s="774"/>
      <c r="AF292" s="774"/>
      <c r="AG292" s="775"/>
      <c r="AH292" s="775"/>
      <c r="AI292" s="774"/>
      <c r="AJ292" s="774"/>
      <c r="AK292" s="775"/>
      <c r="AL292" s="775"/>
      <c r="AM292" s="774"/>
      <c r="AN292" s="774"/>
      <c r="AO292" s="806"/>
      <c r="AP292" s="775"/>
    </row>
    <row r="293" spans="1:42" s="786" customFormat="1" ht="15.5">
      <c r="A293" s="763"/>
      <c r="B293" s="764"/>
      <c r="C293" s="746"/>
      <c r="D293" s="736"/>
      <c r="E293" s="737"/>
      <c r="F293" s="747"/>
      <c r="G293" s="775"/>
      <c r="H293" s="775"/>
      <c r="I293" s="775"/>
      <c r="J293" s="775"/>
      <c r="K293" s="775"/>
      <c r="L293" s="775"/>
      <c r="M293" s="775"/>
      <c r="N293" s="775"/>
      <c r="O293" s="775"/>
      <c r="P293" s="775"/>
      <c r="Q293" s="775"/>
      <c r="R293" s="775"/>
      <c r="S293" s="775"/>
      <c r="T293" s="774"/>
      <c r="U293" s="775"/>
      <c r="V293" s="775"/>
      <c r="W293" s="775"/>
      <c r="X293" s="774"/>
      <c r="Y293" s="775"/>
      <c r="Z293" s="775"/>
      <c r="AA293" s="774"/>
      <c r="AB293" s="774"/>
      <c r="AC293" s="775"/>
      <c r="AD293" s="775"/>
      <c r="AE293" s="774"/>
      <c r="AF293" s="774"/>
      <c r="AG293" s="775"/>
      <c r="AH293" s="775"/>
      <c r="AI293" s="774"/>
      <c r="AJ293" s="774"/>
      <c r="AK293" s="775"/>
      <c r="AL293" s="775"/>
      <c r="AM293" s="774"/>
      <c r="AN293" s="774"/>
      <c r="AO293" s="806"/>
      <c r="AP293" s="775"/>
    </row>
    <row r="294" spans="1:42" s="786" customFormat="1" ht="15.5">
      <c r="A294" s="763"/>
      <c r="B294" s="764"/>
      <c r="C294" s="746"/>
      <c r="D294" s="736"/>
      <c r="E294" s="737"/>
      <c r="F294" s="747"/>
      <c r="G294" s="775"/>
      <c r="H294" s="775"/>
      <c r="I294" s="775"/>
      <c r="J294" s="775"/>
      <c r="K294" s="775"/>
      <c r="L294" s="775"/>
      <c r="M294" s="775"/>
      <c r="N294" s="775"/>
      <c r="O294" s="775"/>
      <c r="P294" s="775"/>
      <c r="Q294" s="775"/>
      <c r="R294" s="775"/>
      <c r="S294" s="775"/>
      <c r="T294" s="774"/>
      <c r="U294" s="775"/>
      <c r="V294" s="775"/>
      <c r="W294" s="775"/>
      <c r="X294" s="774"/>
      <c r="Y294" s="775"/>
      <c r="Z294" s="775"/>
      <c r="AA294" s="774"/>
      <c r="AB294" s="774"/>
      <c r="AC294" s="775"/>
      <c r="AD294" s="775"/>
      <c r="AE294" s="774"/>
      <c r="AF294" s="774"/>
      <c r="AG294" s="775"/>
      <c r="AH294" s="775"/>
      <c r="AI294" s="774"/>
      <c r="AJ294" s="774"/>
      <c r="AK294" s="775"/>
      <c r="AL294" s="775"/>
      <c r="AM294" s="774"/>
      <c r="AN294" s="774"/>
      <c r="AO294" s="806"/>
      <c r="AP294" s="775"/>
    </row>
    <row r="295" spans="1:42" s="786" customFormat="1" ht="15.5">
      <c r="A295" s="763"/>
      <c r="B295" s="764"/>
      <c r="C295" s="746"/>
      <c r="D295" s="741"/>
      <c r="E295" s="737"/>
      <c r="F295" s="747"/>
      <c r="G295" s="775"/>
      <c r="H295" s="775"/>
      <c r="I295" s="775"/>
      <c r="J295" s="775"/>
      <c r="K295" s="775"/>
      <c r="L295" s="775"/>
      <c r="M295" s="775"/>
      <c r="N295" s="775"/>
      <c r="O295" s="775"/>
      <c r="P295" s="775"/>
      <c r="Q295" s="775"/>
      <c r="R295" s="775"/>
      <c r="S295" s="775"/>
      <c r="T295" s="774"/>
      <c r="U295" s="775"/>
      <c r="V295" s="775"/>
      <c r="W295" s="775"/>
      <c r="X295" s="774"/>
      <c r="Y295" s="775"/>
      <c r="Z295" s="775"/>
      <c r="AA295" s="774"/>
      <c r="AB295" s="774"/>
      <c r="AC295" s="775"/>
      <c r="AD295" s="775"/>
      <c r="AE295" s="774"/>
      <c r="AF295" s="774"/>
      <c r="AG295" s="775"/>
      <c r="AH295" s="775"/>
      <c r="AI295" s="774"/>
      <c r="AJ295" s="774"/>
      <c r="AK295" s="775"/>
      <c r="AL295" s="775"/>
      <c r="AM295" s="774"/>
      <c r="AN295" s="774"/>
      <c r="AO295" s="806"/>
      <c r="AP295" s="775"/>
    </row>
    <row r="296" spans="1:42" s="786" customFormat="1" ht="15.5">
      <c r="A296" s="739"/>
      <c r="B296" s="802"/>
      <c r="C296" s="746"/>
      <c r="D296" s="760"/>
      <c r="E296" s="737"/>
      <c r="F296" s="747"/>
      <c r="G296" s="775"/>
      <c r="H296" s="775"/>
      <c r="I296" s="775"/>
      <c r="J296" s="775"/>
      <c r="K296" s="775"/>
      <c r="L296" s="775"/>
      <c r="M296" s="775"/>
      <c r="N296" s="775"/>
      <c r="O296" s="775"/>
      <c r="P296" s="775"/>
      <c r="Q296" s="775"/>
      <c r="R296" s="775"/>
      <c r="S296" s="775"/>
      <c r="T296" s="774"/>
      <c r="U296" s="775"/>
      <c r="V296" s="775"/>
      <c r="W296" s="775"/>
      <c r="X296" s="774"/>
      <c r="Y296" s="775"/>
      <c r="Z296" s="775"/>
      <c r="AA296" s="774"/>
      <c r="AB296" s="774"/>
      <c r="AC296" s="775"/>
      <c r="AD296" s="775"/>
      <c r="AE296" s="774"/>
      <c r="AF296" s="774"/>
      <c r="AG296" s="775"/>
      <c r="AH296" s="775"/>
      <c r="AI296" s="774"/>
      <c r="AJ296" s="774"/>
      <c r="AK296" s="775"/>
      <c r="AL296" s="775"/>
      <c r="AM296" s="774"/>
      <c r="AN296" s="774"/>
      <c r="AO296" s="806"/>
      <c r="AP296" s="775"/>
    </row>
    <row r="297" spans="1:42" s="786" customFormat="1" ht="15.5">
      <c r="A297" s="739"/>
      <c r="B297" s="757"/>
      <c r="C297" s="746"/>
      <c r="D297" s="760"/>
      <c r="E297" s="737"/>
      <c r="F297" s="747"/>
      <c r="G297" s="775"/>
      <c r="H297" s="775"/>
      <c r="I297" s="775"/>
      <c r="J297" s="775"/>
      <c r="K297" s="775"/>
      <c r="L297" s="775"/>
      <c r="M297" s="775"/>
      <c r="N297" s="775"/>
      <c r="O297" s="775"/>
      <c r="P297" s="775"/>
      <c r="Q297" s="775"/>
      <c r="R297" s="775"/>
      <c r="S297" s="775"/>
      <c r="T297" s="774"/>
      <c r="U297" s="775"/>
      <c r="V297" s="775"/>
      <c r="W297" s="775"/>
      <c r="X297" s="774"/>
      <c r="Y297" s="775"/>
      <c r="Z297" s="775"/>
      <c r="AA297" s="774"/>
      <c r="AB297" s="774"/>
      <c r="AC297" s="775"/>
      <c r="AD297" s="775"/>
      <c r="AE297" s="774"/>
      <c r="AF297" s="774"/>
      <c r="AG297" s="775"/>
      <c r="AH297" s="775"/>
      <c r="AI297" s="774"/>
      <c r="AJ297" s="774"/>
      <c r="AK297" s="775"/>
      <c r="AL297" s="775"/>
      <c r="AM297" s="774"/>
      <c r="AN297" s="774"/>
      <c r="AO297" s="806"/>
      <c r="AP297" s="775"/>
    </row>
    <row r="298" spans="1:42" s="786" customFormat="1" ht="15.5">
      <c r="A298" s="763"/>
      <c r="B298" s="764"/>
      <c r="C298" s="746"/>
      <c r="D298" s="736"/>
      <c r="E298" s="737"/>
      <c r="F298" s="747"/>
      <c r="G298" s="775"/>
      <c r="H298" s="775"/>
      <c r="I298" s="775"/>
      <c r="J298" s="775"/>
      <c r="K298" s="775"/>
      <c r="L298" s="775"/>
      <c r="M298" s="775"/>
      <c r="N298" s="775"/>
      <c r="O298" s="775"/>
      <c r="P298" s="775"/>
      <c r="Q298" s="775"/>
      <c r="R298" s="775"/>
      <c r="S298" s="775"/>
      <c r="T298" s="774"/>
      <c r="U298" s="775"/>
      <c r="V298" s="775"/>
      <c r="W298" s="775"/>
      <c r="X298" s="774"/>
      <c r="Y298" s="775"/>
      <c r="Z298" s="775"/>
      <c r="AA298" s="774"/>
      <c r="AB298" s="774"/>
      <c r="AC298" s="775"/>
      <c r="AD298" s="775"/>
      <c r="AE298" s="774"/>
      <c r="AF298" s="774"/>
      <c r="AG298" s="775"/>
      <c r="AH298" s="775"/>
      <c r="AI298" s="774"/>
      <c r="AJ298" s="774"/>
      <c r="AK298" s="775"/>
      <c r="AL298" s="775"/>
      <c r="AM298" s="774"/>
      <c r="AN298" s="774"/>
      <c r="AO298" s="806"/>
      <c r="AP298" s="775"/>
    </row>
    <row r="299" spans="1:42" s="786" customFormat="1" ht="15.5">
      <c r="A299" s="739"/>
      <c r="B299" s="757"/>
      <c r="C299" s="746"/>
      <c r="D299" s="760"/>
      <c r="E299" s="737"/>
      <c r="F299" s="747"/>
      <c r="G299" s="775"/>
      <c r="H299" s="775"/>
      <c r="I299" s="775"/>
      <c r="J299" s="775"/>
      <c r="K299" s="775"/>
      <c r="L299" s="775"/>
      <c r="M299" s="775"/>
      <c r="N299" s="775"/>
      <c r="O299" s="775"/>
      <c r="P299" s="775"/>
      <c r="Q299" s="775"/>
      <c r="R299" s="775"/>
      <c r="S299" s="775"/>
      <c r="T299" s="774"/>
      <c r="U299" s="775"/>
      <c r="V299" s="775"/>
      <c r="W299" s="775"/>
      <c r="X299" s="774"/>
      <c r="Y299" s="775"/>
      <c r="Z299" s="775"/>
      <c r="AA299" s="774"/>
      <c r="AB299" s="774"/>
      <c r="AC299" s="775"/>
      <c r="AD299" s="775"/>
      <c r="AE299" s="774"/>
      <c r="AF299" s="774"/>
      <c r="AG299" s="775"/>
      <c r="AH299" s="775"/>
      <c r="AI299" s="774"/>
      <c r="AJ299" s="774"/>
      <c r="AK299" s="775"/>
      <c r="AL299" s="775"/>
      <c r="AM299" s="774"/>
      <c r="AN299" s="774"/>
      <c r="AO299" s="806"/>
      <c r="AP299" s="775"/>
    </row>
    <row r="300" spans="1:42" s="786" customFormat="1" ht="15.5">
      <c r="A300" s="763"/>
      <c r="B300" s="764"/>
      <c r="C300" s="746"/>
      <c r="D300" s="736"/>
      <c r="E300" s="737"/>
      <c r="F300" s="747"/>
      <c r="G300" s="775"/>
      <c r="H300" s="775"/>
      <c r="I300" s="775"/>
      <c r="J300" s="775"/>
      <c r="K300" s="775"/>
      <c r="L300" s="775"/>
      <c r="M300" s="775"/>
      <c r="N300" s="775"/>
      <c r="O300" s="775"/>
      <c r="P300" s="775"/>
      <c r="Q300" s="775"/>
      <c r="R300" s="775"/>
      <c r="S300" s="775"/>
      <c r="T300" s="774"/>
      <c r="U300" s="775"/>
      <c r="V300" s="775"/>
      <c r="W300" s="775"/>
      <c r="X300" s="774"/>
      <c r="Y300" s="775"/>
      <c r="Z300" s="775"/>
      <c r="AA300" s="774"/>
      <c r="AB300" s="774"/>
      <c r="AC300" s="775"/>
      <c r="AD300" s="775"/>
      <c r="AE300" s="774"/>
      <c r="AF300" s="774"/>
      <c r="AG300" s="775"/>
      <c r="AH300" s="775"/>
      <c r="AI300" s="774"/>
      <c r="AJ300" s="774"/>
      <c r="AK300" s="775"/>
      <c r="AL300" s="775"/>
      <c r="AM300" s="774"/>
      <c r="AN300" s="774"/>
      <c r="AO300" s="806"/>
      <c r="AP300" s="775"/>
    </row>
    <row r="301" spans="1:42" s="786" customFormat="1" ht="15.5">
      <c r="A301" s="763"/>
      <c r="B301" s="764"/>
      <c r="C301" s="746"/>
      <c r="D301" s="736"/>
      <c r="E301" s="737"/>
      <c r="F301" s="747"/>
      <c r="G301" s="775"/>
      <c r="H301" s="775"/>
      <c r="I301" s="775"/>
      <c r="J301" s="775"/>
      <c r="K301" s="775"/>
      <c r="L301" s="775"/>
      <c r="M301" s="775"/>
      <c r="N301" s="775"/>
      <c r="O301" s="775"/>
      <c r="P301" s="775"/>
      <c r="Q301" s="775"/>
      <c r="R301" s="775"/>
      <c r="S301" s="775"/>
      <c r="T301" s="774"/>
      <c r="U301" s="775"/>
      <c r="V301" s="775"/>
      <c r="W301" s="775"/>
      <c r="X301" s="774"/>
      <c r="Y301" s="775"/>
      <c r="Z301" s="775"/>
      <c r="AA301" s="774"/>
      <c r="AB301" s="774"/>
      <c r="AC301" s="775"/>
      <c r="AD301" s="775"/>
      <c r="AE301" s="774"/>
      <c r="AF301" s="774"/>
      <c r="AG301" s="775"/>
      <c r="AH301" s="775"/>
      <c r="AI301" s="774"/>
      <c r="AJ301" s="774"/>
      <c r="AK301" s="775"/>
      <c r="AL301" s="775"/>
      <c r="AM301" s="774"/>
      <c r="AN301" s="774"/>
      <c r="AO301" s="806"/>
      <c r="AP301" s="775"/>
    </row>
    <row r="302" spans="1:42" s="786" customFormat="1" ht="15.5">
      <c r="A302" s="763"/>
      <c r="B302" s="764"/>
      <c r="C302" s="746"/>
      <c r="D302" s="741"/>
      <c r="E302" s="737"/>
      <c r="F302" s="747"/>
      <c r="G302" s="775"/>
      <c r="H302" s="775"/>
      <c r="I302" s="775"/>
      <c r="J302" s="775"/>
      <c r="K302" s="775"/>
      <c r="L302" s="775"/>
      <c r="M302" s="775"/>
      <c r="N302" s="775"/>
      <c r="O302" s="775"/>
      <c r="P302" s="775"/>
      <c r="Q302" s="775"/>
      <c r="R302" s="775"/>
      <c r="S302" s="775"/>
      <c r="T302" s="774"/>
      <c r="U302" s="775"/>
      <c r="V302" s="775"/>
      <c r="W302" s="775"/>
      <c r="X302" s="774"/>
      <c r="Y302" s="775"/>
      <c r="Z302" s="775"/>
      <c r="AA302" s="774"/>
      <c r="AB302" s="774"/>
      <c r="AC302" s="775"/>
      <c r="AD302" s="775"/>
      <c r="AE302" s="774"/>
      <c r="AF302" s="774"/>
      <c r="AG302" s="775"/>
      <c r="AH302" s="775"/>
      <c r="AI302" s="774"/>
      <c r="AJ302" s="774"/>
      <c r="AK302" s="775"/>
      <c r="AL302" s="775"/>
      <c r="AM302" s="774"/>
      <c r="AN302" s="774"/>
      <c r="AO302" s="806"/>
      <c r="AP302" s="775"/>
    </row>
    <row r="303" spans="1:42" s="786" customFormat="1" ht="12.75" customHeight="1" thickBot="1">
      <c r="A303" s="830"/>
      <c r="B303" s="831"/>
      <c r="C303" s="832"/>
      <c r="D303" s="833"/>
      <c r="E303" s="834"/>
      <c r="F303" s="893"/>
      <c r="G303" s="775"/>
      <c r="H303" s="775"/>
      <c r="I303" s="775"/>
      <c r="J303" s="775"/>
      <c r="K303" s="775"/>
      <c r="L303" s="775"/>
      <c r="M303" s="775"/>
      <c r="N303" s="775"/>
      <c r="O303" s="775"/>
      <c r="P303" s="775"/>
      <c r="Q303" s="775"/>
      <c r="R303" s="775"/>
      <c r="S303" s="775"/>
      <c r="T303" s="774"/>
      <c r="U303" s="775"/>
      <c r="V303" s="775"/>
      <c r="W303" s="775"/>
      <c r="X303" s="774"/>
      <c r="Y303" s="775"/>
      <c r="Z303" s="775"/>
      <c r="AA303" s="774"/>
      <c r="AB303" s="774"/>
      <c r="AC303" s="775"/>
      <c r="AD303" s="774"/>
      <c r="AE303" s="774"/>
      <c r="AF303" s="774"/>
      <c r="AG303" s="775"/>
      <c r="AH303" s="774"/>
      <c r="AI303" s="774"/>
      <c r="AJ303" s="774"/>
      <c r="AK303" s="775"/>
      <c r="AL303" s="776"/>
      <c r="AM303" s="777"/>
      <c r="AN303" s="778"/>
      <c r="AO303" s="779"/>
      <c r="AP303" s="778"/>
    </row>
    <row r="304" spans="1:42" s="786" customFormat="1" ht="12.75" customHeight="1" thickTop="1">
      <c r="A304" s="781"/>
      <c r="B304" s="782"/>
      <c r="C304" s="783"/>
      <c r="D304" s="784"/>
      <c r="E304" s="785"/>
      <c r="F304" s="851"/>
      <c r="G304" s="716"/>
      <c r="H304" s="716"/>
      <c r="I304" s="716"/>
      <c r="J304" s="716"/>
      <c r="K304" s="716"/>
      <c r="L304" s="716"/>
      <c r="M304" s="716"/>
      <c r="N304" s="716"/>
      <c r="O304" s="716"/>
      <c r="P304" s="716"/>
      <c r="Q304" s="716"/>
      <c r="R304" s="716"/>
      <c r="S304" s="716"/>
      <c r="T304" s="716"/>
      <c r="U304" s="716"/>
      <c r="V304" s="716"/>
      <c r="W304" s="716"/>
      <c r="X304" s="716"/>
      <c r="Y304" s="716"/>
      <c r="Z304" s="716"/>
      <c r="AA304" s="716"/>
      <c r="AB304" s="716"/>
      <c r="AC304" s="716"/>
      <c r="AD304" s="716"/>
      <c r="AE304" s="716"/>
      <c r="AF304" s="716"/>
      <c r="AG304" s="716"/>
      <c r="AH304" s="716"/>
      <c r="AI304" s="716"/>
      <c r="AJ304" s="716"/>
      <c r="AK304" s="716"/>
    </row>
    <row r="305" spans="1:37" s="786" customFormat="1" ht="15.5">
      <c r="A305" s="787"/>
      <c r="B305" s="788" t="s">
        <v>301</v>
      </c>
      <c r="C305" s="789"/>
      <c r="D305" s="790"/>
      <c r="E305" s="791"/>
      <c r="F305" s="852"/>
      <c r="G305" s="716"/>
      <c r="H305" s="716"/>
      <c r="I305" s="716"/>
      <c r="J305" s="716"/>
      <c r="K305" s="716"/>
      <c r="L305" s="716"/>
      <c r="M305" s="716"/>
      <c r="N305" s="716"/>
      <c r="O305" s="716"/>
      <c r="P305" s="716"/>
      <c r="Q305" s="716"/>
      <c r="R305" s="716"/>
      <c r="S305" s="716"/>
      <c r="T305" s="716"/>
      <c r="U305" s="716"/>
      <c r="V305" s="716"/>
      <c r="W305" s="716"/>
      <c r="X305" s="716"/>
      <c r="Y305" s="716"/>
      <c r="Z305" s="716"/>
      <c r="AA305" s="716"/>
      <c r="AB305" s="716"/>
      <c r="AC305" s="716"/>
      <c r="AD305" s="716"/>
      <c r="AE305" s="716"/>
      <c r="AF305" s="716"/>
      <c r="AG305" s="716"/>
      <c r="AH305" s="716"/>
      <c r="AI305" s="716"/>
      <c r="AJ305" s="716"/>
      <c r="AK305" s="716"/>
    </row>
    <row r="306" spans="1:37" s="786" customFormat="1" ht="12.75" customHeight="1" thickBot="1">
      <c r="A306" s="792"/>
      <c r="B306" s="793"/>
      <c r="C306" s="794"/>
      <c r="D306" s="795"/>
      <c r="E306" s="796"/>
      <c r="F306" s="853"/>
      <c r="G306" s="716"/>
      <c r="H306" s="716"/>
      <c r="I306" s="716"/>
      <c r="J306" s="716"/>
      <c r="K306" s="716"/>
      <c r="L306" s="716"/>
      <c r="M306" s="716"/>
      <c r="N306" s="716"/>
      <c r="O306" s="716"/>
      <c r="P306" s="716"/>
      <c r="Q306" s="716"/>
      <c r="R306" s="716"/>
      <c r="S306" s="716"/>
      <c r="T306" s="716"/>
      <c r="U306" s="716"/>
      <c r="V306" s="716"/>
      <c r="W306" s="716"/>
      <c r="X306" s="716"/>
      <c r="Y306" s="716"/>
      <c r="Z306" s="716"/>
      <c r="AA306" s="716"/>
      <c r="AB306" s="716"/>
      <c r="AC306" s="716"/>
      <c r="AD306" s="716"/>
      <c r="AE306" s="716"/>
      <c r="AF306" s="716"/>
      <c r="AG306" s="716"/>
      <c r="AH306" s="716"/>
      <c r="AI306" s="716"/>
      <c r="AJ306" s="716"/>
      <c r="AK306" s="716"/>
    </row>
    <row r="307" spans="1:37" ht="12.75" customHeight="1" thickTop="1">
      <c r="A307" s="840"/>
      <c r="B307" s="841"/>
      <c r="C307" s="842"/>
      <c r="D307" s="843"/>
      <c r="E307" s="844"/>
      <c r="F307" s="851"/>
    </row>
    <row r="308" spans="1:37" ht="15.5">
      <c r="A308" s="763"/>
      <c r="B308" s="764" t="s">
        <v>1444</v>
      </c>
      <c r="C308" s="746"/>
      <c r="D308" s="736"/>
      <c r="E308" s="737"/>
      <c r="F308" s="747"/>
    </row>
    <row r="309" spans="1:37" ht="12.75" customHeight="1">
      <c r="A309" s="763"/>
      <c r="B309" s="764"/>
      <c r="C309" s="746"/>
      <c r="D309" s="741"/>
      <c r="E309" s="737"/>
      <c r="F309" s="747"/>
    </row>
    <row r="310" spans="1:37" ht="15.5">
      <c r="A310" s="739">
        <v>1</v>
      </c>
      <c r="B310" s="757" t="s">
        <v>239</v>
      </c>
      <c r="C310" s="746"/>
      <c r="D310" s="760"/>
      <c r="E310" s="737"/>
      <c r="F310" s="747">
        <f>F40</f>
        <v>0</v>
      </c>
    </row>
    <row r="311" spans="1:37" ht="12.75" customHeight="1">
      <c r="A311" s="761"/>
      <c r="B311" s="762"/>
      <c r="C311" s="772"/>
      <c r="D311" s="773"/>
      <c r="E311" s="737"/>
      <c r="F311" s="747"/>
    </row>
    <row r="312" spans="1:37" ht="12.75" customHeight="1">
      <c r="A312" s="739">
        <v>2</v>
      </c>
      <c r="B312" s="757" t="s">
        <v>240</v>
      </c>
      <c r="C312" s="746"/>
      <c r="D312" s="760"/>
      <c r="E312" s="737"/>
      <c r="F312" s="747">
        <f>F90</f>
        <v>0</v>
      </c>
    </row>
    <row r="313" spans="1:37" ht="12.75" customHeight="1">
      <c r="A313" s="739"/>
      <c r="B313" s="757"/>
      <c r="C313" s="746"/>
      <c r="D313" s="760"/>
      <c r="E313" s="737"/>
      <c r="F313" s="747"/>
    </row>
    <row r="314" spans="1:37" ht="12.75" customHeight="1">
      <c r="A314" s="761">
        <v>3</v>
      </c>
      <c r="B314" s="757" t="s">
        <v>241</v>
      </c>
      <c r="C314" s="746"/>
      <c r="D314" s="736"/>
      <c r="E314" s="737"/>
      <c r="F314" s="747">
        <f>F146</f>
        <v>0</v>
      </c>
    </row>
    <row r="315" spans="1:37" ht="12.75" customHeight="1">
      <c r="A315" s="739"/>
      <c r="B315" s="757"/>
      <c r="C315" s="746"/>
      <c r="D315" s="760"/>
      <c r="E315" s="737"/>
      <c r="F315" s="747"/>
    </row>
    <row r="316" spans="1:37" ht="12.75" customHeight="1">
      <c r="A316" s="761">
        <v>4</v>
      </c>
      <c r="B316" s="757" t="s">
        <v>1403</v>
      </c>
      <c r="C316" s="746"/>
      <c r="D316" s="736"/>
      <c r="E316" s="737"/>
      <c r="F316" s="747">
        <f>F185</f>
        <v>0</v>
      </c>
    </row>
    <row r="317" spans="1:37" ht="12.75" customHeight="1">
      <c r="A317" s="761"/>
      <c r="B317" s="762"/>
      <c r="C317" s="746"/>
      <c r="D317" s="736"/>
      <c r="E317" s="737"/>
      <c r="F317" s="747"/>
    </row>
    <row r="318" spans="1:37" ht="12.75" customHeight="1">
      <c r="A318" s="761">
        <v>5</v>
      </c>
      <c r="B318" s="757" t="s">
        <v>1445</v>
      </c>
      <c r="C318" s="746"/>
      <c r="D318" s="741"/>
      <c r="E318" s="737"/>
      <c r="F318" s="747">
        <f>F228</f>
        <v>0</v>
      </c>
    </row>
    <row r="319" spans="1:37" ht="12.75" customHeight="1">
      <c r="A319" s="739"/>
      <c r="B319" s="757"/>
      <c r="C319" s="746"/>
      <c r="D319" s="760"/>
      <c r="E319" s="737"/>
      <c r="F319" s="747"/>
    </row>
    <row r="320" spans="1:37" ht="12.75" customHeight="1">
      <c r="A320" s="761">
        <v>6</v>
      </c>
      <c r="B320" s="757" t="s">
        <v>1446</v>
      </c>
      <c r="C320" s="772"/>
      <c r="D320" s="773"/>
      <c r="E320" s="737"/>
      <c r="F320" s="747">
        <f>F281</f>
        <v>0</v>
      </c>
    </row>
    <row r="321" spans="1:6" ht="12.75" customHeight="1">
      <c r="A321" s="739"/>
      <c r="B321" s="757"/>
      <c r="C321" s="746"/>
      <c r="D321" s="760"/>
      <c r="E321" s="737"/>
      <c r="F321" s="747"/>
    </row>
    <row r="322" spans="1:6" ht="12.75" customHeight="1">
      <c r="A322" s="739">
        <v>7</v>
      </c>
      <c r="B322" s="757" t="s">
        <v>1447</v>
      </c>
      <c r="C322" s="746"/>
      <c r="D322" s="760"/>
      <c r="E322" s="737"/>
      <c r="F322" s="747">
        <f>F305</f>
        <v>0</v>
      </c>
    </row>
    <row r="323" spans="1:6" ht="12.75" customHeight="1">
      <c r="A323" s="763"/>
      <c r="B323" s="764"/>
      <c r="C323" s="746"/>
      <c r="D323" s="736"/>
      <c r="E323" s="737"/>
      <c r="F323" s="747"/>
    </row>
    <row r="324" spans="1:6" ht="12.75" customHeight="1">
      <c r="A324" s="739"/>
      <c r="B324" s="757"/>
      <c r="C324" s="746"/>
      <c r="D324" s="760"/>
      <c r="E324" s="737"/>
      <c r="F324" s="747"/>
    </row>
    <row r="325" spans="1:6" ht="12.75" customHeight="1">
      <c r="A325" s="763"/>
      <c r="B325" s="764"/>
      <c r="C325" s="746"/>
      <c r="D325" s="736"/>
      <c r="E325" s="737"/>
      <c r="F325" s="747"/>
    </row>
    <row r="326" spans="1:6" ht="12.75" customHeight="1">
      <c r="A326" s="763"/>
      <c r="B326" s="764"/>
      <c r="C326" s="746"/>
      <c r="D326" s="736"/>
      <c r="E326" s="737"/>
      <c r="F326" s="747"/>
    </row>
    <row r="327" spans="1:6" ht="12.75" customHeight="1">
      <c r="A327" s="763"/>
      <c r="B327" s="764"/>
      <c r="C327" s="746"/>
      <c r="D327" s="741"/>
      <c r="E327" s="737"/>
      <c r="F327" s="747"/>
    </row>
    <row r="328" spans="1:6" ht="12.75" customHeight="1">
      <c r="A328" s="739"/>
      <c r="B328" s="757"/>
      <c r="C328" s="746"/>
      <c r="D328" s="760"/>
      <c r="E328" s="737"/>
      <c r="F328" s="747"/>
    </row>
    <row r="329" spans="1:6" ht="12.75" customHeight="1">
      <c r="A329" s="763"/>
      <c r="B329" s="764"/>
      <c r="C329" s="746"/>
      <c r="D329" s="736"/>
      <c r="E329" s="737"/>
      <c r="F329" s="747"/>
    </row>
    <row r="330" spans="1:6" ht="12.75" customHeight="1">
      <c r="A330" s="763"/>
      <c r="B330" s="764"/>
      <c r="C330" s="746"/>
      <c r="D330" s="736"/>
      <c r="E330" s="737"/>
      <c r="F330" s="747"/>
    </row>
    <row r="331" spans="1:6" ht="12.75" customHeight="1">
      <c r="A331" s="763"/>
      <c r="B331" s="764"/>
      <c r="C331" s="746"/>
      <c r="D331" s="741"/>
      <c r="E331" s="737"/>
      <c r="F331" s="747"/>
    </row>
    <row r="332" spans="1:6" ht="12.75" customHeight="1">
      <c r="A332" s="739"/>
      <c r="B332" s="802"/>
      <c r="C332" s="746"/>
      <c r="D332" s="760"/>
      <c r="E332" s="737"/>
      <c r="F332" s="747"/>
    </row>
    <row r="333" spans="1:6" ht="12.75" customHeight="1">
      <c r="A333" s="761"/>
      <c r="B333" s="762"/>
      <c r="C333" s="772"/>
      <c r="D333" s="773"/>
      <c r="E333" s="737"/>
      <c r="F333" s="747"/>
    </row>
    <row r="334" spans="1:6" ht="12.75" customHeight="1">
      <c r="A334" s="739"/>
      <c r="B334" s="757"/>
      <c r="C334" s="746"/>
      <c r="D334" s="760"/>
      <c r="E334" s="737"/>
      <c r="F334" s="747"/>
    </row>
    <row r="335" spans="1:6" ht="12.75" customHeight="1">
      <c r="A335" s="739"/>
      <c r="B335" s="757"/>
      <c r="C335" s="746"/>
      <c r="D335" s="760"/>
      <c r="E335" s="737"/>
      <c r="F335" s="747"/>
    </row>
    <row r="336" spans="1:6" ht="12.75" customHeight="1">
      <c r="A336" s="763"/>
      <c r="B336" s="764"/>
      <c r="C336" s="746"/>
      <c r="D336" s="736"/>
      <c r="E336" s="737"/>
      <c r="F336" s="747"/>
    </row>
    <row r="337" spans="1:6" ht="12.75" customHeight="1">
      <c r="A337" s="739"/>
      <c r="B337" s="757"/>
      <c r="C337" s="746"/>
      <c r="D337" s="760"/>
      <c r="E337" s="737"/>
      <c r="F337" s="747"/>
    </row>
    <row r="338" spans="1:6" ht="12.75" customHeight="1">
      <c r="A338" s="763"/>
      <c r="B338" s="764"/>
      <c r="C338" s="746"/>
      <c r="D338" s="736"/>
      <c r="E338" s="737"/>
      <c r="F338" s="747"/>
    </row>
    <row r="339" spans="1:6" ht="12.75" customHeight="1">
      <c r="A339" s="763"/>
      <c r="B339" s="764"/>
      <c r="C339" s="746"/>
      <c r="D339" s="736"/>
      <c r="E339" s="737"/>
      <c r="F339" s="747"/>
    </row>
    <row r="340" spans="1:6" ht="12.75" customHeight="1">
      <c r="A340" s="763"/>
      <c r="B340" s="764"/>
      <c r="C340" s="746"/>
      <c r="D340" s="741"/>
      <c r="E340" s="737"/>
      <c r="F340" s="747"/>
    </row>
    <row r="341" spans="1:6" ht="12.75" customHeight="1">
      <c r="A341" s="739"/>
      <c r="B341" s="802"/>
      <c r="C341" s="746"/>
      <c r="D341" s="760"/>
      <c r="E341" s="737"/>
      <c r="F341" s="747"/>
    </row>
    <row r="342" spans="1:6" ht="12.75" customHeight="1">
      <c r="A342" s="761"/>
      <c r="B342" s="762"/>
      <c r="C342" s="772"/>
      <c r="D342" s="773"/>
      <c r="E342" s="737"/>
      <c r="F342" s="747"/>
    </row>
    <row r="343" spans="1:6" ht="12.75" customHeight="1">
      <c r="A343" s="739"/>
      <c r="B343" s="757"/>
      <c r="C343" s="746"/>
      <c r="D343" s="760"/>
      <c r="E343" s="737"/>
      <c r="F343" s="747"/>
    </row>
    <row r="344" spans="1:6" ht="12.75" customHeight="1">
      <c r="A344" s="739"/>
      <c r="B344" s="757"/>
      <c r="C344" s="746"/>
      <c r="D344" s="760"/>
      <c r="E344" s="737"/>
      <c r="F344" s="747"/>
    </row>
    <row r="345" spans="1:6" ht="12.75" customHeight="1">
      <c r="A345" s="763"/>
      <c r="B345" s="764"/>
      <c r="C345" s="746"/>
      <c r="D345" s="736"/>
      <c r="E345" s="737"/>
      <c r="F345" s="747"/>
    </row>
    <row r="346" spans="1:6" ht="12.75" customHeight="1">
      <c r="A346" s="739"/>
      <c r="B346" s="757"/>
      <c r="C346" s="746"/>
      <c r="D346" s="760"/>
      <c r="E346" s="737"/>
      <c r="F346" s="747"/>
    </row>
    <row r="347" spans="1:6" ht="12.75" customHeight="1">
      <c r="A347" s="763"/>
      <c r="B347" s="764"/>
      <c r="C347" s="746"/>
      <c r="D347" s="736"/>
      <c r="E347" s="737"/>
      <c r="F347" s="747"/>
    </row>
    <row r="348" spans="1:6" ht="12.75" customHeight="1">
      <c r="A348" s="763"/>
      <c r="B348" s="764"/>
      <c r="C348" s="746"/>
      <c r="D348" s="736"/>
      <c r="E348" s="737"/>
      <c r="F348" s="747"/>
    </row>
    <row r="349" spans="1:6" ht="12.75" customHeight="1">
      <c r="A349" s="763"/>
      <c r="B349" s="764"/>
      <c r="C349" s="746"/>
      <c r="D349" s="741"/>
      <c r="E349" s="737"/>
      <c r="F349" s="747"/>
    </row>
    <row r="350" spans="1:6" ht="12.75" customHeight="1">
      <c r="A350" s="739"/>
      <c r="B350" s="757"/>
      <c r="C350" s="746"/>
      <c r="D350" s="760"/>
      <c r="E350" s="737"/>
      <c r="F350" s="747"/>
    </row>
    <row r="351" spans="1:6" ht="12.75" customHeight="1">
      <c r="A351" s="763"/>
      <c r="B351" s="764"/>
      <c r="C351" s="746"/>
      <c r="D351" s="736"/>
      <c r="E351" s="737"/>
      <c r="F351" s="747"/>
    </row>
    <row r="352" spans="1:6" ht="12.75" customHeight="1">
      <c r="A352" s="763"/>
      <c r="B352" s="764"/>
      <c r="C352" s="746"/>
      <c r="D352" s="736"/>
      <c r="E352" s="737"/>
      <c r="F352" s="747"/>
    </row>
    <row r="353" spans="1:6" ht="12.75" customHeight="1">
      <c r="A353" s="763"/>
      <c r="B353" s="764"/>
      <c r="C353" s="746"/>
      <c r="D353" s="741"/>
      <c r="E353" s="737"/>
      <c r="F353" s="747"/>
    </row>
    <row r="354" spans="1:6" ht="12.75" customHeight="1">
      <c r="A354" s="739"/>
      <c r="B354" s="802"/>
      <c r="C354" s="746"/>
      <c r="D354" s="760"/>
      <c r="E354" s="737"/>
      <c r="F354" s="747"/>
    </row>
    <row r="355" spans="1:6" ht="12.75" customHeight="1">
      <c r="A355" s="761"/>
      <c r="B355" s="762"/>
      <c r="C355" s="772"/>
      <c r="D355" s="773"/>
      <c r="E355" s="737"/>
      <c r="F355" s="747"/>
    </row>
    <row r="356" spans="1:6" ht="12.75" customHeight="1">
      <c r="A356" s="739"/>
      <c r="B356" s="757"/>
      <c r="C356" s="746"/>
      <c r="D356" s="760"/>
      <c r="E356" s="737"/>
      <c r="F356" s="747"/>
    </row>
    <row r="357" spans="1:6" ht="12.75" customHeight="1">
      <c r="A357" s="739"/>
      <c r="B357" s="757"/>
      <c r="C357" s="746"/>
      <c r="D357" s="760"/>
      <c r="E357" s="737"/>
      <c r="F357" s="747"/>
    </row>
    <row r="358" spans="1:6" ht="12.75" customHeight="1">
      <c r="A358" s="763"/>
      <c r="B358" s="764"/>
      <c r="C358" s="746"/>
      <c r="D358" s="736"/>
      <c r="E358" s="737"/>
      <c r="F358" s="747"/>
    </row>
    <row r="359" spans="1:6" ht="12.75" customHeight="1">
      <c r="A359" s="739"/>
      <c r="B359" s="757"/>
      <c r="C359" s="746"/>
      <c r="D359" s="760"/>
      <c r="E359" s="737"/>
      <c r="F359" s="747"/>
    </row>
    <row r="360" spans="1:6" ht="12.75" customHeight="1">
      <c r="A360" s="763"/>
      <c r="B360" s="764"/>
      <c r="C360" s="746"/>
      <c r="D360" s="736"/>
      <c r="E360" s="737"/>
      <c r="F360" s="747"/>
    </row>
    <row r="361" spans="1:6" ht="12.75" customHeight="1" thickBot="1">
      <c r="A361" s="845"/>
      <c r="B361" s="846"/>
      <c r="C361" s="847"/>
      <c r="D361" s="848"/>
      <c r="E361" s="849"/>
      <c r="F361" s="850"/>
    </row>
    <row r="362" spans="1:6" ht="12.75" customHeight="1" thickTop="1">
      <c r="A362" s="781"/>
      <c r="B362" s="782"/>
      <c r="C362" s="783"/>
      <c r="D362" s="784"/>
      <c r="E362" s="785"/>
      <c r="F362" s="851"/>
    </row>
    <row r="363" spans="1:6" ht="15.5">
      <c r="A363" s="787"/>
      <c r="B363" s="1538" t="s">
        <v>1448</v>
      </c>
      <c r="C363" s="1538"/>
      <c r="D363" s="1538"/>
      <c r="E363" s="791"/>
      <c r="F363" s="852"/>
    </row>
    <row r="364" spans="1:6" ht="12.75" customHeight="1" thickBot="1">
      <c r="A364" s="792"/>
      <c r="B364" s="793"/>
      <c r="C364" s="794"/>
      <c r="D364" s="795"/>
      <c r="E364" s="796"/>
      <c r="F364" s="853"/>
    </row>
    <row r="365" spans="1:6" ht="12.75" customHeight="1" thickTop="1" thickBot="1">
      <c r="A365" s="792"/>
      <c r="B365" s="793"/>
      <c r="C365" s="794"/>
      <c r="D365" s="795"/>
      <c r="E365" s="854"/>
      <c r="F365" s="855"/>
    </row>
    <row r="366" spans="1:6" ht="12.75" customHeight="1" thickTop="1"/>
  </sheetData>
  <mergeCells count="2">
    <mergeCell ref="B363:D363"/>
    <mergeCell ref="A2:F2"/>
  </mergeCells>
  <printOptions horizontalCentered="1"/>
  <pageMargins left="0.74803149606299202" right="0.511811023622047" top="1" bottom="0.74803149606299202" header="0.511811023622047" footer="0.511811023622047"/>
  <pageSetup paperSize="9" scale="79" firstPageNumber="89" orientation="portrait" useFirstPageNumber="1" r:id="rId1"/>
  <headerFooter>
    <oddHeader>&amp;LWater and Sanitation Development Project&amp;RSecond Baricho Kakuyuni Water Supply Project</oddHeader>
    <oddFooter>&amp;C&amp;A&amp;R&amp;P</oddFooter>
  </headerFooter>
  <rowBreaks count="6" manualBreakCount="6">
    <brk id="41" max="5" man="1"/>
    <brk id="91" max="5" man="1"/>
    <brk id="147" max="5" man="1"/>
    <brk id="186" max="5" man="1"/>
    <brk id="228" max="5" man="1"/>
    <brk id="306"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344"/>
  <sheetViews>
    <sheetView view="pageBreakPreview" topLeftCell="A117" zoomScaleNormal="100" zoomScaleSheetLayoutView="100" workbookViewId="0">
      <selection activeCell="F341" sqref="F341"/>
    </sheetView>
  </sheetViews>
  <sheetFormatPr defaultColWidth="9.08984375" defaultRowHeight="12.5"/>
  <cols>
    <col min="1" max="1" width="9.54296875" style="123" customWidth="1"/>
    <col min="2" max="2" width="48.54296875" style="17" customWidth="1"/>
    <col min="3" max="3" width="8.54296875" style="123" customWidth="1"/>
    <col min="4" max="4" width="8.6328125" style="124" customWidth="1"/>
    <col min="5" max="5" width="11.08984375" style="125" customWidth="1"/>
    <col min="6" max="6" width="14.6328125" style="126" customWidth="1"/>
    <col min="7" max="16384" width="9.08984375" style="17"/>
  </cols>
  <sheetData>
    <row r="1" spans="1:6" ht="12.75" customHeight="1"/>
    <row r="2" spans="1:6" ht="12.75" customHeight="1">
      <c r="A2" s="1542" t="s">
        <v>261</v>
      </c>
      <c r="B2" s="1542"/>
      <c r="C2" s="1542"/>
      <c r="D2" s="1542"/>
      <c r="E2" s="1542"/>
      <c r="F2" s="1542"/>
    </row>
    <row r="3" spans="1:6" ht="13" thickBot="1">
      <c r="A3" s="9"/>
      <c r="D3" s="127"/>
      <c r="E3" s="128"/>
    </row>
    <row r="4" spans="1:6" ht="27" thickTop="1" thickBot="1">
      <c r="A4" s="13" t="s">
        <v>4</v>
      </c>
      <c r="B4" s="129" t="s">
        <v>5</v>
      </c>
      <c r="C4" s="129" t="s">
        <v>6</v>
      </c>
      <c r="D4" s="130" t="s">
        <v>1</v>
      </c>
      <c r="E4" s="131" t="s">
        <v>7</v>
      </c>
      <c r="F4" s="76" t="s">
        <v>8</v>
      </c>
    </row>
    <row r="5" spans="1:6" ht="13.5" thickTop="1">
      <c r="A5" s="5"/>
      <c r="B5" s="87"/>
      <c r="C5" s="57"/>
      <c r="D5" s="138"/>
      <c r="E5" s="139"/>
      <c r="F5" s="140"/>
    </row>
    <row r="6" spans="1:6" ht="13">
      <c r="A6" s="1"/>
      <c r="B6" s="87" t="s">
        <v>71</v>
      </c>
      <c r="C6" s="57"/>
      <c r="D6" s="138"/>
      <c r="E6" s="139"/>
      <c r="F6" s="140"/>
    </row>
    <row r="7" spans="1:6" ht="13">
      <c r="A7" s="5"/>
      <c r="B7" s="87"/>
      <c r="C7" s="57"/>
      <c r="D7" s="138"/>
      <c r="E7" s="139"/>
      <c r="F7" s="140"/>
    </row>
    <row r="8" spans="1:6" ht="13">
      <c r="A8" s="5"/>
      <c r="B8" s="87" t="s">
        <v>249</v>
      </c>
      <c r="C8" s="57"/>
      <c r="D8" s="138"/>
      <c r="E8" s="139"/>
      <c r="F8" s="140"/>
    </row>
    <row r="9" spans="1:6" ht="13">
      <c r="A9" s="5"/>
      <c r="B9" s="87"/>
      <c r="C9" s="57"/>
      <c r="D9" s="138"/>
      <c r="E9" s="139"/>
      <c r="F9" s="140"/>
    </row>
    <row r="10" spans="1:6" ht="13">
      <c r="A10" s="5"/>
      <c r="B10" s="88" t="s">
        <v>262</v>
      </c>
      <c r="C10" s="57"/>
      <c r="D10" s="138"/>
      <c r="E10" s="139"/>
      <c r="F10" s="140"/>
    </row>
    <row r="11" spans="1:6">
      <c r="A11" s="5"/>
      <c r="B11" s="85"/>
      <c r="C11" s="57"/>
      <c r="D11" s="138"/>
      <c r="E11" s="118"/>
      <c r="F11" s="81"/>
    </row>
    <row r="12" spans="1:6" ht="37.5">
      <c r="A12" s="18"/>
      <c r="B12" s="141" t="s">
        <v>263</v>
      </c>
      <c r="C12" s="96"/>
      <c r="D12" s="142"/>
      <c r="E12" s="118"/>
      <c r="F12" s="81"/>
    </row>
    <row r="13" spans="1:6" ht="13">
      <c r="A13" s="18"/>
      <c r="B13" s="100"/>
      <c r="C13" s="103"/>
      <c r="D13" s="143"/>
      <c r="E13" s="118"/>
      <c r="F13" s="81"/>
    </row>
    <row r="14" spans="1:6">
      <c r="A14" s="11" t="s">
        <v>264</v>
      </c>
      <c r="B14" s="100" t="s">
        <v>265</v>
      </c>
      <c r="C14" s="103" t="s">
        <v>9</v>
      </c>
      <c r="D14" s="143">
        <f>'[34]TAKE OFF sHEET'!D4</f>
        <v>5020</v>
      </c>
      <c r="E14" s="118">
        <v>600</v>
      </c>
      <c r="F14" s="81">
        <f>D14*E14</f>
        <v>3012000</v>
      </c>
    </row>
    <row r="15" spans="1:6">
      <c r="A15" s="11"/>
      <c r="B15" s="100"/>
      <c r="C15" s="103"/>
      <c r="D15" s="143"/>
      <c r="E15" s="118"/>
      <c r="F15" s="81"/>
    </row>
    <row r="16" spans="1:6" ht="13">
      <c r="A16" s="56"/>
      <c r="B16" s="26" t="s">
        <v>266</v>
      </c>
      <c r="C16" s="57"/>
      <c r="D16" s="144"/>
      <c r="E16" s="118"/>
      <c r="F16" s="81"/>
    </row>
    <row r="17" spans="1:42" ht="13">
      <c r="A17" s="27"/>
      <c r="B17" s="98"/>
      <c r="C17" s="57"/>
      <c r="D17" s="144"/>
      <c r="E17" s="118"/>
      <c r="F17" s="81"/>
      <c r="I17" s="17">
        <f>6*D14</f>
        <v>30120</v>
      </c>
    </row>
    <row r="18" spans="1:42" ht="37.5">
      <c r="A18" s="27" t="s">
        <v>267</v>
      </c>
      <c r="B18" s="100" t="s">
        <v>268</v>
      </c>
      <c r="C18" s="57" t="s">
        <v>37</v>
      </c>
      <c r="D18" s="145">
        <f>ROUNDUP((6*D14)/10000,-0.1)</f>
        <v>4</v>
      </c>
      <c r="E18" s="118">
        <v>200000</v>
      </c>
      <c r="F18" s="81">
        <f>D18*E18</f>
        <v>800000</v>
      </c>
    </row>
    <row r="19" spans="1:42">
      <c r="A19" s="27"/>
      <c r="B19" s="100"/>
      <c r="C19" s="57"/>
      <c r="D19" s="144"/>
      <c r="E19" s="118"/>
      <c r="F19" s="81"/>
    </row>
    <row r="20" spans="1:42">
      <c r="A20" s="27" t="s">
        <v>269</v>
      </c>
      <c r="B20" s="146" t="s">
        <v>270</v>
      </c>
      <c r="C20" s="57" t="s">
        <v>10</v>
      </c>
      <c r="D20" s="144">
        <v>20</v>
      </c>
      <c r="E20" s="147">
        <v>4000</v>
      </c>
      <c r="F20" s="81">
        <f>D20*E20</f>
        <v>80000</v>
      </c>
    </row>
    <row r="21" spans="1:42">
      <c r="A21" s="4"/>
      <c r="B21" s="146"/>
      <c r="C21" s="57"/>
      <c r="D21" s="144"/>
      <c r="E21" s="147"/>
      <c r="F21" s="81"/>
    </row>
    <row r="22" spans="1:42">
      <c r="A22" s="4" t="s">
        <v>271</v>
      </c>
      <c r="B22" s="146" t="s">
        <v>272</v>
      </c>
      <c r="C22" s="57" t="s">
        <v>10</v>
      </c>
      <c r="D22" s="144">
        <v>15</v>
      </c>
      <c r="E22" s="147">
        <v>8000</v>
      </c>
      <c r="F22" s="81">
        <f>D22*E22</f>
        <v>120000</v>
      </c>
    </row>
    <row r="23" spans="1:42">
      <c r="A23" s="4"/>
      <c r="B23" s="146"/>
      <c r="C23" s="57"/>
      <c r="D23" s="144"/>
      <c r="E23" s="118"/>
      <c r="F23" s="81"/>
    </row>
    <row r="24" spans="1:42">
      <c r="A24" s="27" t="s">
        <v>273</v>
      </c>
      <c r="B24" s="146" t="s">
        <v>274</v>
      </c>
      <c r="C24" s="57" t="s">
        <v>10</v>
      </c>
      <c r="D24" s="144">
        <v>10</v>
      </c>
      <c r="E24" s="118">
        <v>12000</v>
      </c>
      <c r="F24" s="81">
        <f>D24*E24</f>
        <v>120000</v>
      </c>
    </row>
    <row r="25" spans="1:42">
      <c r="A25" s="4"/>
      <c r="B25" s="8"/>
      <c r="C25" s="57"/>
      <c r="D25" s="144"/>
      <c r="E25" s="118"/>
      <c r="F25" s="81"/>
    </row>
    <row r="26" spans="1:42">
      <c r="A26" s="4"/>
      <c r="B26" s="8"/>
      <c r="C26" s="57"/>
      <c r="D26" s="144"/>
      <c r="E26" s="118"/>
      <c r="F26" s="81"/>
    </row>
    <row r="27" spans="1:42" ht="13">
      <c r="A27" s="25"/>
      <c r="B27" s="148" t="s">
        <v>24</v>
      </c>
      <c r="C27" s="116"/>
      <c r="D27" s="149"/>
      <c r="E27" s="150"/>
      <c r="F27" s="81"/>
    </row>
    <row r="28" spans="1:42">
      <c r="A28" s="6"/>
      <c r="B28" s="151"/>
      <c r="C28" s="116"/>
      <c r="D28" s="149"/>
      <c r="E28" s="150"/>
      <c r="F28" s="81"/>
    </row>
    <row r="29" spans="1:42" ht="91">
      <c r="A29" s="6"/>
      <c r="B29" s="152" t="s">
        <v>275</v>
      </c>
      <c r="C29" s="116"/>
      <c r="D29" s="149"/>
      <c r="E29" s="150"/>
      <c r="F29" s="153"/>
    </row>
    <row r="30" spans="1:42" ht="13">
      <c r="A30" s="101"/>
      <c r="B30" s="152"/>
      <c r="C30" s="116"/>
      <c r="D30" s="149"/>
      <c r="E30" s="150"/>
      <c r="F30" s="154"/>
    </row>
    <row r="31" spans="1:42" s="234" customFormat="1" ht="14.5">
      <c r="A31" s="155" t="s">
        <v>276</v>
      </c>
      <c r="B31" s="156" t="s">
        <v>277</v>
      </c>
      <c r="C31" s="157" t="s">
        <v>9</v>
      </c>
      <c r="D31" s="158">
        <v>20</v>
      </c>
      <c r="E31" s="159">
        <f>17465+G31</f>
        <v>20465</v>
      </c>
      <c r="F31" s="160">
        <f>D31*E31</f>
        <v>409300</v>
      </c>
      <c r="G31" s="228">
        <v>3000</v>
      </c>
      <c r="H31" s="229"/>
      <c r="I31" s="230"/>
      <c r="J31" s="229"/>
      <c r="K31" s="231"/>
      <c r="L31" s="232"/>
      <c r="M31" s="230"/>
      <c r="N31" s="229"/>
      <c r="O31" s="231"/>
      <c r="P31" s="232"/>
      <c r="Q31" s="230"/>
      <c r="R31" s="229"/>
      <c r="S31" s="231"/>
      <c r="T31" s="229">
        <f t="shared" ref="T31:T45" si="0">R31+P31</f>
        <v>0</v>
      </c>
      <c r="U31" s="230"/>
      <c r="V31" s="229"/>
      <c r="W31" s="231"/>
      <c r="X31" s="229">
        <f t="shared" ref="X31:X45" si="1">V31+T31</f>
        <v>0</v>
      </c>
      <c r="Y31" s="230"/>
      <c r="Z31" s="229"/>
      <c r="AA31" s="230">
        <f t="shared" ref="AA31:AB45" si="2">Y31+W31</f>
        <v>0</v>
      </c>
      <c r="AB31" s="229">
        <f t="shared" si="2"/>
        <v>0</v>
      </c>
      <c r="AC31" s="230"/>
      <c r="AD31" s="229">
        <f t="shared" ref="AD31:AD45" si="3">AC31*E31</f>
        <v>0</v>
      </c>
      <c r="AE31" s="230">
        <f t="shared" ref="AE31:AF45" si="4">AC31+AA31</f>
        <v>0</v>
      </c>
      <c r="AF31" s="229">
        <f t="shared" si="4"/>
        <v>0</v>
      </c>
      <c r="AG31" s="230"/>
      <c r="AH31" s="229">
        <f t="shared" ref="AH31:AH45" si="5">AG31*E31</f>
        <v>0</v>
      </c>
      <c r="AI31" s="230">
        <f t="shared" ref="AI31:AJ45" si="6">AG31+AE31</f>
        <v>0</v>
      </c>
      <c r="AJ31" s="229">
        <f t="shared" si="6"/>
        <v>0</v>
      </c>
      <c r="AK31" s="230"/>
      <c r="AL31" s="229">
        <f t="shared" ref="AL31:AL45" si="7">AK31*E31</f>
        <v>0</v>
      </c>
      <c r="AM31" s="230">
        <f t="shared" ref="AM31:AN42" si="8">AK31+AI31</f>
        <v>0</v>
      </c>
      <c r="AN31" s="229">
        <f t="shared" si="8"/>
        <v>0</v>
      </c>
      <c r="AO31" s="233"/>
      <c r="AP31" s="229">
        <f t="shared" ref="AP31:AP45" si="9">AO31*E31</f>
        <v>0</v>
      </c>
    </row>
    <row r="32" spans="1:42" s="241" customFormat="1" ht="14.5">
      <c r="A32" s="161"/>
      <c r="B32" s="162"/>
      <c r="C32" s="163"/>
      <c r="D32" s="164"/>
      <c r="E32" s="165"/>
      <c r="F32" s="166"/>
      <c r="G32" s="235"/>
      <c r="H32" s="236"/>
      <c r="I32" s="237"/>
      <c r="J32" s="236"/>
      <c r="K32" s="238"/>
      <c r="L32" s="239"/>
      <c r="M32" s="237"/>
      <c r="N32" s="236"/>
      <c r="O32" s="238"/>
      <c r="P32" s="239"/>
      <c r="Q32" s="237"/>
      <c r="R32" s="236"/>
      <c r="S32" s="238"/>
      <c r="T32" s="236">
        <f t="shared" si="0"/>
        <v>0</v>
      </c>
      <c r="U32" s="237"/>
      <c r="V32" s="236"/>
      <c r="W32" s="238"/>
      <c r="X32" s="236">
        <f t="shared" si="1"/>
        <v>0</v>
      </c>
      <c r="Y32" s="237"/>
      <c r="Z32" s="236"/>
      <c r="AA32" s="237">
        <f t="shared" si="2"/>
        <v>0</v>
      </c>
      <c r="AB32" s="236">
        <f t="shared" si="2"/>
        <v>0</v>
      </c>
      <c r="AC32" s="237"/>
      <c r="AD32" s="236">
        <f t="shared" si="3"/>
        <v>0</v>
      </c>
      <c r="AE32" s="237">
        <f t="shared" si="4"/>
        <v>0</v>
      </c>
      <c r="AF32" s="236">
        <f t="shared" si="4"/>
        <v>0</v>
      </c>
      <c r="AG32" s="237"/>
      <c r="AH32" s="236">
        <f t="shared" si="5"/>
        <v>0</v>
      </c>
      <c r="AI32" s="237">
        <f t="shared" si="6"/>
        <v>0</v>
      </c>
      <c r="AJ32" s="236">
        <f t="shared" si="6"/>
        <v>0</v>
      </c>
      <c r="AK32" s="237"/>
      <c r="AL32" s="236">
        <f t="shared" si="7"/>
        <v>0</v>
      </c>
      <c r="AM32" s="237">
        <f t="shared" si="8"/>
        <v>0</v>
      </c>
      <c r="AN32" s="236">
        <f t="shared" si="8"/>
        <v>0</v>
      </c>
      <c r="AO32" s="240"/>
      <c r="AP32" s="236">
        <f t="shared" si="9"/>
        <v>0</v>
      </c>
    </row>
    <row r="33" spans="1:42" s="241" customFormat="1" ht="25">
      <c r="A33" s="161" t="s">
        <v>278</v>
      </c>
      <c r="B33" s="167" t="s">
        <v>279</v>
      </c>
      <c r="C33" s="168" t="s">
        <v>9</v>
      </c>
      <c r="D33" s="158">
        <v>820</v>
      </c>
      <c r="E33" s="169">
        <f>18100+G31</f>
        <v>21100</v>
      </c>
      <c r="F33" s="170">
        <f>D33*E33</f>
        <v>17302000</v>
      </c>
      <c r="G33" s="235"/>
      <c r="H33" s="236"/>
      <c r="I33" s="237"/>
      <c r="J33" s="236"/>
      <c r="K33" s="238"/>
      <c r="L33" s="239"/>
      <c r="M33" s="237"/>
      <c r="N33" s="236"/>
      <c r="O33" s="238"/>
      <c r="P33" s="239"/>
      <c r="Q33" s="237"/>
      <c r="R33" s="236"/>
      <c r="S33" s="238"/>
      <c r="T33" s="236">
        <f t="shared" si="0"/>
        <v>0</v>
      </c>
      <c r="U33" s="237"/>
      <c r="V33" s="236"/>
      <c r="W33" s="238"/>
      <c r="X33" s="236">
        <f t="shared" si="1"/>
        <v>0</v>
      </c>
      <c r="Y33" s="237"/>
      <c r="Z33" s="236"/>
      <c r="AA33" s="237">
        <f t="shared" si="2"/>
        <v>0</v>
      </c>
      <c r="AB33" s="236">
        <f t="shared" si="2"/>
        <v>0</v>
      </c>
      <c r="AC33" s="237"/>
      <c r="AD33" s="236">
        <f t="shared" si="3"/>
        <v>0</v>
      </c>
      <c r="AE33" s="237">
        <f t="shared" si="4"/>
        <v>0</v>
      </c>
      <c r="AF33" s="236">
        <f t="shared" si="4"/>
        <v>0</v>
      </c>
      <c r="AG33" s="237"/>
      <c r="AH33" s="236">
        <f t="shared" si="5"/>
        <v>0</v>
      </c>
      <c r="AI33" s="237">
        <f t="shared" si="6"/>
        <v>0</v>
      </c>
      <c r="AJ33" s="236">
        <f t="shared" si="6"/>
        <v>0</v>
      </c>
      <c r="AK33" s="237"/>
      <c r="AL33" s="236">
        <f t="shared" si="7"/>
        <v>0</v>
      </c>
      <c r="AM33" s="237">
        <f t="shared" si="8"/>
        <v>0</v>
      </c>
      <c r="AN33" s="236">
        <f t="shared" si="8"/>
        <v>0</v>
      </c>
      <c r="AO33" s="240"/>
      <c r="AP33" s="236">
        <f t="shared" si="9"/>
        <v>0</v>
      </c>
    </row>
    <row r="34" spans="1:42" s="241" customFormat="1" ht="14.5">
      <c r="A34" s="161"/>
      <c r="B34" s="162"/>
      <c r="C34" s="163"/>
      <c r="D34" s="158"/>
      <c r="E34" s="165"/>
      <c r="F34" s="166"/>
      <c r="G34" s="235"/>
      <c r="H34" s="236"/>
      <c r="I34" s="237"/>
      <c r="J34" s="236"/>
      <c r="K34" s="238"/>
      <c r="L34" s="239"/>
      <c r="M34" s="237"/>
      <c r="N34" s="236"/>
      <c r="O34" s="238"/>
      <c r="P34" s="239"/>
      <c r="Q34" s="237"/>
      <c r="R34" s="236"/>
      <c r="S34" s="238"/>
      <c r="T34" s="236">
        <f t="shared" si="0"/>
        <v>0</v>
      </c>
      <c r="U34" s="237"/>
      <c r="V34" s="236"/>
      <c r="W34" s="238"/>
      <c r="X34" s="236">
        <f t="shared" si="1"/>
        <v>0</v>
      </c>
      <c r="Y34" s="237"/>
      <c r="Z34" s="236"/>
      <c r="AA34" s="237">
        <f t="shared" si="2"/>
        <v>0</v>
      </c>
      <c r="AB34" s="236">
        <f t="shared" si="2"/>
        <v>0</v>
      </c>
      <c r="AC34" s="237"/>
      <c r="AD34" s="236">
        <f t="shared" si="3"/>
        <v>0</v>
      </c>
      <c r="AE34" s="237">
        <f t="shared" si="4"/>
        <v>0</v>
      </c>
      <c r="AF34" s="236">
        <f t="shared" si="4"/>
        <v>0</v>
      </c>
      <c r="AG34" s="237"/>
      <c r="AH34" s="236">
        <f t="shared" si="5"/>
        <v>0</v>
      </c>
      <c r="AI34" s="237">
        <f t="shared" si="6"/>
        <v>0</v>
      </c>
      <c r="AJ34" s="236">
        <f t="shared" si="6"/>
        <v>0</v>
      </c>
      <c r="AK34" s="237"/>
      <c r="AL34" s="236">
        <f t="shared" si="7"/>
        <v>0</v>
      </c>
      <c r="AM34" s="237">
        <f t="shared" si="8"/>
        <v>0</v>
      </c>
      <c r="AN34" s="236">
        <f t="shared" si="8"/>
        <v>0</v>
      </c>
      <c r="AO34" s="240"/>
      <c r="AP34" s="236">
        <f t="shared" si="9"/>
        <v>0</v>
      </c>
    </row>
    <row r="35" spans="1:42" s="241" customFormat="1" ht="14.5">
      <c r="A35" s="161" t="s">
        <v>280</v>
      </c>
      <c r="B35" s="167" t="s">
        <v>281</v>
      </c>
      <c r="C35" s="168" t="s">
        <v>9</v>
      </c>
      <c r="D35" s="158">
        <v>950</v>
      </c>
      <c r="E35" s="169">
        <f>18405+G31</f>
        <v>21405</v>
      </c>
      <c r="F35" s="170">
        <f>D35*E35</f>
        <v>20334750</v>
      </c>
      <c r="G35" s="235"/>
      <c r="H35" s="236"/>
      <c r="I35" s="237"/>
      <c r="J35" s="236"/>
      <c r="K35" s="238"/>
      <c r="L35" s="239"/>
      <c r="M35" s="237">
        <v>570</v>
      </c>
      <c r="N35" s="236">
        <f t="shared" ref="N35:N41" si="10">M35*E35</f>
        <v>12200850</v>
      </c>
      <c r="O35" s="238">
        <f t="shared" ref="O35:O42" si="11">M35+K35</f>
        <v>570</v>
      </c>
      <c r="P35" s="239">
        <f>O35*E35</f>
        <v>12200850</v>
      </c>
      <c r="Q35" s="237"/>
      <c r="R35" s="236">
        <f t="shared" ref="R35:R40" si="12">Q35*I35</f>
        <v>0</v>
      </c>
      <c r="S35" s="238">
        <f t="shared" ref="S35:S43" si="13">Q35+O35</f>
        <v>570</v>
      </c>
      <c r="T35" s="236">
        <f t="shared" si="0"/>
        <v>12200850</v>
      </c>
      <c r="U35" s="237"/>
      <c r="V35" s="236">
        <f>U35*M35</f>
        <v>0</v>
      </c>
      <c r="W35" s="238">
        <f t="shared" ref="W35:W43" si="14">U35+S35</f>
        <v>570</v>
      </c>
      <c r="X35" s="236">
        <f t="shared" si="1"/>
        <v>12200850</v>
      </c>
      <c r="Y35" s="237"/>
      <c r="Z35" s="236">
        <f>Y35*Q35</f>
        <v>0</v>
      </c>
      <c r="AA35" s="237">
        <f t="shared" si="2"/>
        <v>570</v>
      </c>
      <c r="AB35" s="236">
        <f t="shared" si="2"/>
        <v>12200850</v>
      </c>
      <c r="AC35" s="237">
        <v>500</v>
      </c>
      <c r="AD35" s="236">
        <f t="shared" si="3"/>
        <v>10702500</v>
      </c>
      <c r="AE35" s="237">
        <f t="shared" si="4"/>
        <v>1070</v>
      </c>
      <c r="AF35" s="236">
        <f t="shared" si="4"/>
        <v>22903350</v>
      </c>
      <c r="AG35" s="237">
        <v>970</v>
      </c>
      <c r="AH35" s="236">
        <f t="shared" si="5"/>
        <v>20762850</v>
      </c>
      <c r="AI35" s="237">
        <f t="shared" si="6"/>
        <v>2040</v>
      </c>
      <c r="AJ35" s="236">
        <f t="shared" si="6"/>
        <v>43666200</v>
      </c>
      <c r="AK35" s="237"/>
      <c r="AL35" s="236">
        <f t="shared" si="7"/>
        <v>0</v>
      </c>
      <c r="AM35" s="237">
        <f t="shared" si="8"/>
        <v>2040</v>
      </c>
      <c r="AN35" s="236">
        <f t="shared" si="8"/>
        <v>43666200</v>
      </c>
      <c r="AO35" s="240"/>
      <c r="AP35" s="236">
        <f t="shared" si="9"/>
        <v>0</v>
      </c>
    </row>
    <row r="36" spans="1:42" s="241" customFormat="1" ht="14.5">
      <c r="A36" s="161"/>
      <c r="B36" s="162"/>
      <c r="C36" s="163"/>
      <c r="D36" s="158"/>
      <c r="E36" s="165"/>
      <c r="F36" s="166"/>
      <c r="G36" s="235"/>
      <c r="H36" s="236"/>
      <c r="I36" s="237"/>
      <c r="J36" s="236"/>
      <c r="K36" s="238"/>
      <c r="L36" s="239"/>
      <c r="M36" s="237"/>
      <c r="N36" s="236">
        <f t="shared" si="10"/>
        <v>0</v>
      </c>
      <c r="O36" s="238">
        <f t="shared" si="11"/>
        <v>0</v>
      </c>
      <c r="P36" s="239">
        <f t="shared" ref="P36:P41" si="15">O36*E36</f>
        <v>0</v>
      </c>
      <c r="Q36" s="237"/>
      <c r="R36" s="236">
        <f t="shared" si="12"/>
        <v>0</v>
      </c>
      <c r="S36" s="238">
        <f t="shared" si="13"/>
        <v>0</v>
      </c>
      <c r="T36" s="236">
        <f t="shared" si="0"/>
        <v>0</v>
      </c>
      <c r="U36" s="237"/>
      <c r="V36" s="236">
        <f>U36*M36</f>
        <v>0</v>
      </c>
      <c r="W36" s="238">
        <f t="shared" si="14"/>
        <v>0</v>
      </c>
      <c r="X36" s="236">
        <f t="shared" si="1"/>
        <v>0</v>
      </c>
      <c r="Y36" s="237"/>
      <c r="Z36" s="236">
        <f>Y36*Q36</f>
        <v>0</v>
      </c>
      <c r="AA36" s="237">
        <f t="shared" si="2"/>
        <v>0</v>
      </c>
      <c r="AB36" s="236">
        <f t="shared" si="2"/>
        <v>0</v>
      </c>
      <c r="AC36" s="237"/>
      <c r="AD36" s="236">
        <f t="shared" si="3"/>
        <v>0</v>
      </c>
      <c r="AE36" s="237">
        <f t="shared" si="4"/>
        <v>0</v>
      </c>
      <c r="AF36" s="236">
        <f t="shared" si="4"/>
        <v>0</v>
      </c>
      <c r="AG36" s="237"/>
      <c r="AH36" s="236">
        <f t="shared" si="5"/>
        <v>0</v>
      </c>
      <c r="AI36" s="237">
        <f t="shared" si="6"/>
        <v>0</v>
      </c>
      <c r="AJ36" s="236">
        <f t="shared" si="6"/>
        <v>0</v>
      </c>
      <c r="AK36" s="237"/>
      <c r="AL36" s="236">
        <f t="shared" si="7"/>
        <v>0</v>
      </c>
      <c r="AM36" s="237">
        <f t="shared" si="8"/>
        <v>0</v>
      </c>
      <c r="AN36" s="236">
        <f t="shared" si="8"/>
        <v>0</v>
      </c>
      <c r="AO36" s="240"/>
      <c r="AP36" s="236">
        <f t="shared" si="9"/>
        <v>0</v>
      </c>
    </row>
    <row r="37" spans="1:42" s="241" customFormat="1" ht="14.5">
      <c r="A37" s="161" t="s">
        <v>282</v>
      </c>
      <c r="B37" s="167" t="s">
        <v>283</v>
      </c>
      <c r="C37" s="168" t="s">
        <v>9</v>
      </c>
      <c r="D37" s="158">
        <v>1110</v>
      </c>
      <c r="E37" s="169">
        <f>19100+G31</f>
        <v>22100</v>
      </c>
      <c r="F37" s="170">
        <f>D37*E37</f>
        <v>24531000</v>
      </c>
      <c r="G37" s="235"/>
      <c r="H37" s="236"/>
      <c r="I37" s="237"/>
      <c r="J37" s="236"/>
      <c r="K37" s="238"/>
      <c r="L37" s="239"/>
      <c r="M37" s="237">
        <v>1220</v>
      </c>
      <c r="N37" s="236">
        <f t="shared" si="10"/>
        <v>26962000</v>
      </c>
      <c r="O37" s="238">
        <f t="shared" si="11"/>
        <v>1220</v>
      </c>
      <c r="P37" s="239">
        <f t="shared" si="15"/>
        <v>26962000</v>
      </c>
      <c r="Q37" s="237">
        <v>500</v>
      </c>
      <c r="R37" s="236">
        <f>Q37*E37</f>
        <v>11050000</v>
      </c>
      <c r="S37" s="238">
        <f t="shared" si="13"/>
        <v>1720</v>
      </c>
      <c r="T37" s="236">
        <f t="shared" si="0"/>
        <v>38012000</v>
      </c>
      <c r="U37" s="237"/>
      <c r="V37" s="236">
        <f>U37*I37</f>
        <v>0</v>
      </c>
      <c r="W37" s="238">
        <f t="shared" si="14"/>
        <v>1720</v>
      </c>
      <c r="X37" s="236">
        <f t="shared" si="1"/>
        <v>38012000</v>
      </c>
      <c r="Y37" s="237">
        <v>1000</v>
      </c>
      <c r="Z37" s="236">
        <f>Y37*E37</f>
        <v>22100000</v>
      </c>
      <c r="AA37" s="237">
        <f t="shared" si="2"/>
        <v>2720</v>
      </c>
      <c r="AB37" s="236">
        <f t="shared" si="2"/>
        <v>60112000</v>
      </c>
      <c r="AC37" s="237">
        <v>1000</v>
      </c>
      <c r="AD37" s="236">
        <f t="shared" si="3"/>
        <v>22100000</v>
      </c>
      <c r="AE37" s="237">
        <f t="shared" si="4"/>
        <v>3720</v>
      </c>
      <c r="AF37" s="236">
        <f t="shared" si="4"/>
        <v>82212000</v>
      </c>
      <c r="AG37" s="237"/>
      <c r="AH37" s="236">
        <f t="shared" si="5"/>
        <v>0</v>
      </c>
      <c r="AI37" s="237">
        <f t="shared" si="6"/>
        <v>3720</v>
      </c>
      <c r="AJ37" s="236">
        <f t="shared" si="6"/>
        <v>82212000</v>
      </c>
      <c r="AK37" s="237"/>
      <c r="AL37" s="236">
        <f t="shared" si="7"/>
        <v>0</v>
      </c>
      <c r="AM37" s="237">
        <f t="shared" si="8"/>
        <v>3720</v>
      </c>
      <c r="AN37" s="236">
        <f t="shared" si="8"/>
        <v>82212000</v>
      </c>
      <c r="AO37" s="240">
        <v>95</v>
      </c>
      <c r="AP37" s="236">
        <f t="shared" si="9"/>
        <v>2099500</v>
      </c>
    </row>
    <row r="38" spans="1:42" s="241" customFormat="1" ht="14.5">
      <c r="A38" s="161"/>
      <c r="B38" s="162"/>
      <c r="C38" s="163"/>
      <c r="D38" s="158"/>
      <c r="E38" s="165"/>
      <c r="F38" s="166"/>
      <c r="G38" s="235"/>
      <c r="H38" s="236"/>
      <c r="I38" s="237"/>
      <c r="J38" s="236"/>
      <c r="K38" s="238"/>
      <c r="L38" s="239"/>
      <c r="M38" s="237"/>
      <c r="N38" s="236">
        <f t="shared" si="10"/>
        <v>0</v>
      </c>
      <c r="O38" s="238">
        <f t="shared" si="11"/>
        <v>0</v>
      </c>
      <c r="P38" s="239">
        <f t="shared" si="15"/>
        <v>0</v>
      </c>
      <c r="Q38" s="237"/>
      <c r="R38" s="236">
        <f t="shared" si="12"/>
        <v>0</v>
      </c>
      <c r="S38" s="238">
        <f t="shared" si="13"/>
        <v>0</v>
      </c>
      <c r="T38" s="236">
        <f t="shared" si="0"/>
        <v>0</v>
      </c>
      <c r="U38" s="237"/>
      <c r="V38" s="236">
        <f>U38*M38</f>
        <v>0</v>
      </c>
      <c r="W38" s="238">
        <f t="shared" si="14"/>
        <v>0</v>
      </c>
      <c r="X38" s="236">
        <f t="shared" si="1"/>
        <v>0</v>
      </c>
      <c r="Y38" s="237"/>
      <c r="Z38" s="236">
        <f>Y38*Q38</f>
        <v>0</v>
      </c>
      <c r="AA38" s="237">
        <f t="shared" si="2"/>
        <v>0</v>
      </c>
      <c r="AB38" s="236">
        <f t="shared" si="2"/>
        <v>0</v>
      </c>
      <c r="AC38" s="237"/>
      <c r="AD38" s="236">
        <f t="shared" si="3"/>
        <v>0</v>
      </c>
      <c r="AE38" s="237">
        <f t="shared" si="4"/>
        <v>0</v>
      </c>
      <c r="AF38" s="236">
        <f t="shared" si="4"/>
        <v>0</v>
      </c>
      <c r="AG38" s="237"/>
      <c r="AH38" s="236">
        <f t="shared" si="5"/>
        <v>0</v>
      </c>
      <c r="AI38" s="237">
        <f t="shared" si="6"/>
        <v>0</v>
      </c>
      <c r="AJ38" s="236">
        <f t="shared" si="6"/>
        <v>0</v>
      </c>
      <c r="AK38" s="237"/>
      <c r="AL38" s="236">
        <f t="shared" si="7"/>
        <v>0</v>
      </c>
      <c r="AM38" s="237">
        <f t="shared" si="8"/>
        <v>0</v>
      </c>
      <c r="AN38" s="236">
        <f t="shared" si="8"/>
        <v>0</v>
      </c>
      <c r="AO38" s="240"/>
      <c r="AP38" s="236">
        <f t="shared" si="9"/>
        <v>0</v>
      </c>
    </row>
    <row r="39" spans="1:42" s="241" customFormat="1" ht="14.5">
      <c r="A39" s="161" t="s">
        <v>284</v>
      </c>
      <c r="B39" s="167" t="s">
        <v>285</v>
      </c>
      <c r="C39" s="168" t="s">
        <v>9</v>
      </c>
      <c r="D39" s="158">
        <v>1210</v>
      </c>
      <c r="E39" s="169">
        <f>19850+G31</f>
        <v>22850</v>
      </c>
      <c r="F39" s="170">
        <f>D39*E39</f>
        <v>27648500</v>
      </c>
      <c r="G39" s="235"/>
      <c r="H39" s="236"/>
      <c r="I39" s="237"/>
      <c r="J39" s="236"/>
      <c r="K39" s="238"/>
      <c r="L39" s="239"/>
      <c r="M39" s="237">
        <v>440</v>
      </c>
      <c r="N39" s="236">
        <f t="shared" si="10"/>
        <v>10054000</v>
      </c>
      <c r="O39" s="238">
        <f t="shared" si="11"/>
        <v>440</v>
      </c>
      <c r="P39" s="239">
        <f t="shared" si="15"/>
        <v>10054000</v>
      </c>
      <c r="Q39" s="237">
        <v>934</v>
      </c>
      <c r="R39" s="236">
        <f>Q39*E39</f>
        <v>21341900</v>
      </c>
      <c r="S39" s="238">
        <f t="shared" si="13"/>
        <v>1374</v>
      </c>
      <c r="T39" s="236">
        <f t="shared" si="0"/>
        <v>31395900</v>
      </c>
      <c r="U39" s="237"/>
      <c r="V39" s="236">
        <f>U39*I39</f>
        <v>0</v>
      </c>
      <c r="W39" s="238">
        <f t="shared" si="14"/>
        <v>1374</v>
      </c>
      <c r="X39" s="236">
        <f t="shared" si="1"/>
        <v>31395900</v>
      </c>
      <c r="Y39" s="237"/>
      <c r="Z39" s="236">
        <f>Y39*M39</f>
        <v>0</v>
      </c>
      <c r="AA39" s="237">
        <f t="shared" si="2"/>
        <v>1374</v>
      </c>
      <c r="AB39" s="236">
        <f t="shared" si="2"/>
        <v>31395900</v>
      </c>
      <c r="AC39" s="237"/>
      <c r="AD39" s="236">
        <f t="shared" si="3"/>
        <v>0</v>
      </c>
      <c r="AE39" s="237">
        <f t="shared" si="4"/>
        <v>1374</v>
      </c>
      <c r="AF39" s="236">
        <f t="shared" si="4"/>
        <v>31395900</v>
      </c>
      <c r="AG39" s="237">
        <v>585</v>
      </c>
      <c r="AH39" s="236">
        <f t="shared" si="5"/>
        <v>13367250</v>
      </c>
      <c r="AI39" s="237">
        <f t="shared" si="6"/>
        <v>1959</v>
      </c>
      <c r="AJ39" s="236">
        <f t="shared" si="6"/>
        <v>44763150</v>
      </c>
      <c r="AK39" s="237"/>
      <c r="AL39" s="236">
        <f t="shared" si="7"/>
        <v>0</v>
      </c>
      <c r="AM39" s="237">
        <f t="shared" si="8"/>
        <v>1959</v>
      </c>
      <c r="AN39" s="236">
        <f t="shared" si="8"/>
        <v>44763150</v>
      </c>
      <c r="AO39" s="240">
        <v>85</v>
      </c>
      <c r="AP39" s="236">
        <f t="shared" si="9"/>
        <v>1942250</v>
      </c>
    </row>
    <row r="40" spans="1:42" s="241" customFormat="1" ht="14.5">
      <c r="A40" s="161"/>
      <c r="B40" s="162"/>
      <c r="C40" s="163"/>
      <c r="D40" s="158"/>
      <c r="E40" s="165"/>
      <c r="F40" s="166"/>
      <c r="G40" s="235"/>
      <c r="H40" s="236"/>
      <c r="I40" s="237"/>
      <c r="J40" s="236"/>
      <c r="K40" s="238"/>
      <c r="L40" s="239"/>
      <c r="M40" s="237"/>
      <c r="N40" s="236">
        <f t="shared" si="10"/>
        <v>0</v>
      </c>
      <c r="O40" s="238">
        <f t="shared" si="11"/>
        <v>0</v>
      </c>
      <c r="P40" s="239">
        <f t="shared" si="15"/>
        <v>0</v>
      </c>
      <c r="Q40" s="237"/>
      <c r="R40" s="236">
        <f t="shared" si="12"/>
        <v>0</v>
      </c>
      <c r="S40" s="238">
        <f t="shared" si="13"/>
        <v>0</v>
      </c>
      <c r="T40" s="236">
        <f t="shared" si="0"/>
        <v>0</v>
      </c>
      <c r="U40" s="237"/>
      <c r="V40" s="236">
        <f>U40*M40</f>
        <v>0</v>
      </c>
      <c r="W40" s="238">
        <f t="shared" si="14"/>
        <v>0</v>
      </c>
      <c r="X40" s="236">
        <f t="shared" si="1"/>
        <v>0</v>
      </c>
      <c r="Y40" s="237"/>
      <c r="Z40" s="236">
        <f>Y40*Q40</f>
        <v>0</v>
      </c>
      <c r="AA40" s="237">
        <f t="shared" si="2"/>
        <v>0</v>
      </c>
      <c r="AB40" s="236">
        <f t="shared" si="2"/>
        <v>0</v>
      </c>
      <c r="AC40" s="237"/>
      <c r="AD40" s="236">
        <f t="shared" si="3"/>
        <v>0</v>
      </c>
      <c r="AE40" s="237">
        <f t="shared" si="4"/>
        <v>0</v>
      </c>
      <c r="AF40" s="236">
        <f t="shared" si="4"/>
        <v>0</v>
      </c>
      <c r="AG40" s="237"/>
      <c r="AH40" s="236">
        <f t="shared" si="5"/>
        <v>0</v>
      </c>
      <c r="AI40" s="237">
        <f t="shared" si="6"/>
        <v>0</v>
      </c>
      <c r="AJ40" s="236">
        <f t="shared" si="6"/>
        <v>0</v>
      </c>
      <c r="AK40" s="237"/>
      <c r="AL40" s="236">
        <f t="shared" si="7"/>
        <v>0</v>
      </c>
      <c r="AM40" s="237">
        <f t="shared" si="8"/>
        <v>0</v>
      </c>
      <c r="AN40" s="236">
        <f t="shared" si="8"/>
        <v>0</v>
      </c>
      <c r="AO40" s="240"/>
      <c r="AP40" s="236">
        <f t="shared" si="9"/>
        <v>0</v>
      </c>
    </row>
    <row r="41" spans="1:42" s="241" customFormat="1" ht="14.5">
      <c r="A41" s="161" t="s">
        <v>286</v>
      </c>
      <c r="B41" s="167" t="s">
        <v>287</v>
      </c>
      <c r="C41" s="168" t="s">
        <v>9</v>
      </c>
      <c r="D41" s="158">
        <v>760</v>
      </c>
      <c r="E41" s="169">
        <f>21200+G31</f>
        <v>24200</v>
      </c>
      <c r="F41" s="170">
        <f>D41*E41</f>
        <v>18392000</v>
      </c>
      <c r="G41" s="235"/>
      <c r="H41" s="236"/>
      <c r="I41" s="237"/>
      <c r="J41" s="236"/>
      <c r="K41" s="238"/>
      <c r="L41" s="239"/>
      <c r="M41" s="237">
        <v>160</v>
      </c>
      <c r="N41" s="236">
        <f t="shared" si="10"/>
        <v>3872000</v>
      </c>
      <c r="O41" s="238">
        <f t="shared" si="11"/>
        <v>160</v>
      </c>
      <c r="P41" s="239">
        <f t="shared" si="15"/>
        <v>3872000</v>
      </c>
      <c r="Q41" s="237"/>
      <c r="R41" s="236">
        <f>Q41*E41</f>
        <v>0</v>
      </c>
      <c r="S41" s="238">
        <f t="shared" si="13"/>
        <v>160</v>
      </c>
      <c r="T41" s="236">
        <f t="shared" si="0"/>
        <v>3872000</v>
      </c>
      <c r="U41" s="237"/>
      <c r="V41" s="236">
        <f>U41*I41</f>
        <v>0</v>
      </c>
      <c r="W41" s="238">
        <f t="shared" si="14"/>
        <v>160</v>
      </c>
      <c r="X41" s="236">
        <f t="shared" si="1"/>
        <v>3872000</v>
      </c>
      <c r="Y41" s="237"/>
      <c r="Z41" s="236">
        <f>Y41*M41</f>
        <v>0</v>
      </c>
      <c r="AA41" s="237">
        <f t="shared" si="2"/>
        <v>160</v>
      </c>
      <c r="AB41" s="236">
        <f t="shared" si="2"/>
        <v>3872000</v>
      </c>
      <c r="AC41" s="237"/>
      <c r="AD41" s="236">
        <f t="shared" si="3"/>
        <v>0</v>
      </c>
      <c r="AE41" s="237">
        <f t="shared" si="4"/>
        <v>160</v>
      </c>
      <c r="AF41" s="236">
        <f t="shared" si="4"/>
        <v>3872000</v>
      </c>
      <c r="AG41" s="237">
        <v>385</v>
      </c>
      <c r="AH41" s="236">
        <f t="shared" si="5"/>
        <v>9317000</v>
      </c>
      <c r="AI41" s="237">
        <f t="shared" si="6"/>
        <v>545</v>
      </c>
      <c r="AJ41" s="236">
        <f t="shared" si="6"/>
        <v>13189000</v>
      </c>
      <c r="AK41" s="237"/>
      <c r="AL41" s="236">
        <f t="shared" si="7"/>
        <v>0</v>
      </c>
      <c r="AM41" s="237">
        <f t="shared" si="8"/>
        <v>545</v>
      </c>
      <c r="AN41" s="236">
        <f t="shared" si="8"/>
        <v>13189000</v>
      </c>
      <c r="AO41" s="240"/>
      <c r="AP41" s="236">
        <f t="shared" si="9"/>
        <v>0</v>
      </c>
    </row>
    <row r="42" spans="1:42" s="241" customFormat="1" ht="14.5">
      <c r="A42" s="161"/>
      <c r="B42" s="167"/>
      <c r="C42" s="168"/>
      <c r="D42" s="158"/>
      <c r="E42" s="169"/>
      <c r="F42" s="170"/>
      <c r="G42" s="235"/>
      <c r="H42" s="236"/>
      <c r="I42" s="237"/>
      <c r="J42" s="236"/>
      <c r="K42" s="238"/>
      <c r="L42" s="239"/>
      <c r="M42" s="237"/>
      <c r="N42" s="236"/>
      <c r="O42" s="238">
        <f t="shared" si="11"/>
        <v>0</v>
      </c>
      <c r="P42" s="239"/>
      <c r="Q42" s="237"/>
      <c r="R42" s="236"/>
      <c r="S42" s="238">
        <f t="shared" si="13"/>
        <v>0</v>
      </c>
      <c r="T42" s="236">
        <f t="shared" si="0"/>
        <v>0</v>
      </c>
      <c r="U42" s="237"/>
      <c r="V42" s="236"/>
      <c r="W42" s="238">
        <f t="shared" si="14"/>
        <v>0</v>
      </c>
      <c r="X42" s="236">
        <f t="shared" si="1"/>
        <v>0</v>
      </c>
      <c r="Y42" s="237"/>
      <c r="Z42" s="236"/>
      <c r="AA42" s="237">
        <f t="shared" si="2"/>
        <v>0</v>
      </c>
      <c r="AB42" s="236">
        <f t="shared" si="2"/>
        <v>0</v>
      </c>
      <c r="AC42" s="237"/>
      <c r="AD42" s="236">
        <f t="shared" si="3"/>
        <v>0</v>
      </c>
      <c r="AE42" s="237">
        <f t="shared" si="4"/>
        <v>0</v>
      </c>
      <c r="AF42" s="236">
        <f t="shared" si="4"/>
        <v>0</v>
      </c>
      <c r="AG42" s="237"/>
      <c r="AH42" s="236">
        <f t="shared" si="5"/>
        <v>0</v>
      </c>
      <c r="AI42" s="237">
        <f t="shared" si="6"/>
        <v>0</v>
      </c>
      <c r="AJ42" s="236">
        <f t="shared" si="6"/>
        <v>0</v>
      </c>
      <c r="AK42" s="237"/>
      <c r="AL42" s="236">
        <f t="shared" si="7"/>
        <v>0</v>
      </c>
      <c r="AM42" s="237"/>
      <c r="AN42" s="236">
        <f t="shared" si="8"/>
        <v>0</v>
      </c>
      <c r="AO42" s="240"/>
      <c r="AP42" s="236">
        <f t="shared" si="9"/>
        <v>0</v>
      </c>
    </row>
    <row r="43" spans="1:42" s="241" customFormat="1" ht="14.5">
      <c r="A43" s="161" t="s">
        <v>288</v>
      </c>
      <c r="B43" s="167" t="s">
        <v>289</v>
      </c>
      <c r="C43" s="168" t="s">
        <v>9</v>
      </c>
      <c r="D43" s="158">
        <v>200</v>
      </c>
      <c r="E43" s="169">
        <f>22585+G31</f>
        <v>25585</v>
      </c>
      <c r="F43" s="170">
        <f>D43*E43</f>
        <v>5117000</v>
      </c>
      <c r="G43" s="235"/>
      <c r="H43" s="236"/>
      <c r="I43" s="237"/>
      <c r="J43" s="236"/>
      <c r="K43" s="238"/>
      <c r="L43" s="239"/>
      <c r="M43" s="237"/>
      <c r="N43" s="236"/>
      <c r="O43" s="238"/>
      <c r="P43" s="239"/>
      <c r="Q43" s="237"/>
      <c r="R43" s="236">
        <f>Q43*E43</f>
        <v>0</v>
      </c>
      <c r="S43" s="238">
        <f t="shared" si="13"/>
        <v>0</v>
      </c>
      <c r="T43" s="236">
        <f t="shared" si="0"/>
        <v>0</v>
      </c>
      <c r="U43" s="237"/>
      <c r="V43" s="236">
        <f>U43*I43</f>
        <v>0</v>
      </c>
      <c r="W43" s="238">
        <f t="shared" si="14"/>
        <v>0</v>
      </c>
      <c r="X43" s="236">
        <f t="shared" si="1"/>
        <v>0</v>
      </c>
      <c r="Y43" s="237"/>
      <c r="Z43" s="236">
        <f>Y43*M43</f>
        <v>0</v>
      </c>
      <c r="AA43" s="237">
        <f t="shared" si="2"/>
        <v>0</v>
      </c>
      <c r="AB43" s="236">
        <f t="shared" si="2"/>
        <v>0</v>
      </c>
      <c r="AC43" s="237"/>
      <c r="AD43" s="236">
        <f t="shared" si="3"/>
        <v>0</v>
      </c>
      <c r="AE43" s="237">
        <f t="shared" si="4"/>
        <v>0</v>
      </c>
      <c r="AF43" s="236">
        <f t="shared" si="4"/>
        <v>0</v>
      </c>
      <c r="AG43" s="237"/>
      <c r="AH43" s="236">
        <f t="shared" si="5"/>
        <v>0</v>
      </c>
      <c r="AI43" s="237">
        <f t="shared" si="6"/>
        <v>0</v>
      </c>
      <c r="AJ43" s="236">
        <f t="shared" si="6"/>
        <v>0</v>
      </c>
      <c r="AK43" s="237"/>
      <c r="AL43" s="236">
        <f t="shared" si="7"/>
        <v>0</v>
      </c>
      <c r="AM43" s="237">
        <f t="shared" ref="AM43:AN45" si="16">AK43+AI43</f>
        <v>0</v>
      </c>
      <c r="AN43" s="236">
        <f t="shared" si="16"/>
        <v>0</v>
      </c>
      <c r="AO43" s="240"/>
      <c r="AP43" s="236">
        <f t="shared" si="9"/>
        <v>0</v>
      </c>
    </row>
    <row r="44" spans="1:42" s="241" customFormat="1" ht="10.5" customHeight="1">
      <c r="A44" s="161"/>
      <c r="B44" s="162"/>
      <c r="C44" s="163"/>
      <c r="D44" s="158"/>
      <c r="E44" s="165"/>
      <c r="F44" s="166"/>
      <c r="G44" s="235"/>
      <c r="H44" s="236"/>
      <c r="I44" s="237"/>
      <c r="J44" s="236"/>
      <c r="K44" s="238"/>
      <c r="L44" s="239"/>
      <c r="M44" s="237"/>
      <c r="N44" s="236"/>
      <c r="O44" s="238"/>
      <c r="P44" s="239"/>
      <c r="Q44" s="237"/>
      <c r="R44" s="236"/>
      <c r="S44" s="238"/>
      <c r="T44" s="236">
        <f t="shared" si="0"/>
        <v>0</v>
      </c>
      <c r="U44" s="237"/>
      <c r="V44" s="236"/>
      <c r="W44" s="238"/>
      <c r="X44" s="236">
        <f t="shared" si="1"/>
        <v>0</v>
      </c>
      <c r="Y44" s="237"/>
      <c r="Z44" s="236"/>
      <c r="AA44" s="237">
        <f t="shared" si="2"/>
        <v>0</v>
      </c>
      <c r="AB44" s="236">
        <f t="shared" si="2"/>
        <v>0</v>
      </c>
      <c r="AC44" s="237"/>
      <c r="AD44" s="236">
        <f t="shared" si="3"/>
        <v>0</v>
      </c>
      <c r="AE44" s="237">
        <f t="shared" si="4"/>
        <v>0</v>
      </c>
      <c r="AF44" s="236">
        <f t="shared" si="4"/>
        <v>0</v>
      </c>
      <c r="AG44" s="237"/>
      <c r="AH44" s="236">
        <f t="shared" si="5"/>
        <v>0</v>
      </c>
      <c r="AI44" s="237">
        <f t="shared" si="6"/>
        <v>0</v>
      </c>
      <c r="AJ44" s="236">
        <f t="shared" si="6"/>
        <v>0</v>
      </c>
      <c r="AK44" s="237"/>
      <c r="AL44" s="236">
        <f t="shared" si="7"/>
        <v>0</v>
      </c>
      <c r="AM44" s="237">
        <f t="shared" si="16"/>
        <v>0</v>
      </c>
      <c r="AN44" s="236">
        <f t="shared" si="16"/>
        <v>0</v>
      </c>
      <c r="AO44" s="240"/>
      <c r="AP44" s="236">
        <f t="shared" si="9"/>
        <v>0</v>
      </c>
    </row>
    <row r="45" spans="1:42" s="241" customFormat="1" ht="14.5">
      <c r="A45" s="161" t="s">
        <v>290</v>
      </c>
      <c r="B45" s="167" t="s">
        <v>291</v>
      </c>
      <c r="C45" s="168" t="s">
        <v>9</v>
      </c>
      <c r="D45" s="158">
        <v>50</v>
      </c>
      <c r="E45" s="169">
        <f>24150+G31</f>
        <v>27150</v>
      </c>
      <c r="F45" s="170">
        <f>D45*E45</f>
        <v>1357500</v>
      </c>
      <c r="G45" s="235"/>
      <c r="H45" s="236"/>
      <c r="I45" s="237"/>
      <c r="J45" s="236"/>
      <c r="K45" s="238"/>
      <c r="L45" s="239"/>
      <c r="M45" s="237"/>
      <c r="N45" s="236"/>
      <c r="O45" s="238"/>
      <c r="P45" s="239"/>
      <c r="Q45" s="237"/>
      <c r="R45" s="236"/>
      <c r="S45" s="238"/>
      <c r="T45" s="236">
        <f t="shared" si="0"/>
        <v>0</v>
      </c>
      <c r="U45" s="237"/>
      <c r="V45" s="236"/>
      <c r="W45" s="238"/>
      <c r="X45" s="236">
        <f t="shared" si="1"/>
        <v>0</v>
      </c>
      <c r="Y45" s="237"/>
      <c r="Z45" s="236"/>
      <c r="AA45" s="237">
        <f t="shared" si="2"/>
        <v>0</v>
      </c>
      <c r="AB45" s="236">
        <f t="shared" si="2"/>
        <v>0</v>
      </c>
      <c r="AC45" s="237"/>
      <c r="AD45" s="236">
        <f t="shared" si="3"/>
        <v>0</v>
      </c>
      <c r="AE45" s="237">
        <f t="shared" si="4"/>
        <v>0</v>
      </c>
      <c r="AF45" s="236">
        <f t="shared" si="4"/>
        <v>0</v>
      </c>
      <c r="AG45" s="237"/>
      <c r="AH45" s="236">
        <f t="shared" si="5"/>
        <v>0</v>
      </c>
      <c r="AI45" s="237">
        <f t="shared" si="6"/>
        <v>0</v>
      </c>
      <c r="AJ45" s="236">
        <f t="shared" si="6"/>
        <v>0</v>
      </c>
      <c r="AK45" s="237"/>
      <c r="AL45" s="236">
        <f t="shared" si="7"/>
        <v>0</v>
      </c>
      <c r="AM45" s="237">
        <f t="shared" si="16"/>
        <v>0</v>
      </c>
      <c r="AN45" s="236">
        <f t="shared" si="16"/>
        <v>0</v>
      </c>
      <c r="AO45" s="240"/>
      <c r="AP45" s="236">
        <f t="shared" si="9"/>
        <v>0</v>
      </c>
    </row>
    <row r="46" spans="1:42">
      <c r="A46" s="6"/>
      <c r="B46" s="151"/>
      <c r="C46" s="116"/>
      <c r="D46" s="149"/>
      <c r="E46" s="150"/>
      <c r="F46" s="153"/>
    </row>
    <row r="47" spans="1:42" hidden="1">
      <c r="A47" s="6" t="s">
        <v>292</v>
      </c>
      <c r="B47" s="151" t="s">
        <v>293</v>
      </c>
      <c r="C47" s="116" t="s">
        <v>9</v>
      </c>
      <c r="D47" s="149"/>
      <c r="E47" s="150">
        <v>600</v>
      </c>
      <c r="F47" s="171">
        <f>D47*E47</f>
        <v>0</v>
      </c>
    </row>
    <row r="48" spans="1:42" hidden="1">
      <c r="A48" s="6"/>
      <c r="B48" s="151"/>
      <c r="C48" s="116"/>
      <c r="D48" s="149"/>
      <c r="E48" s="150"/>
      <c r="F48" s="171"/>
    </row>
    <row r="49" spans="1:6" hidden="1">
      <c r="A49" s="6" t="s">
        <v>294</v>
      </c>
      <c r="B49" s="151" t="s">
        <v>295</v>
      </c>
      <c r="C49" s="116" t="s">
        <v>9</v>
      </c>
      <c r="D49" s="149"/>
      <c r="E49" s="123">
        <f>1.4*500*1*1.2</f>
        <v>840</v>
      </c>
      <c r="F49" s="171">
        <f>D49*E49</f>
        <v>0</v>
      </c>
    </row>
    <row r="50" spans="1:6" hidden="1">
      <c r="A50" s="6"/>
      <c r="B50" s="151"/>
      <c r="C50" s="116"/>
      <c r="D50" s="149"/>
      <c r="E50" s="123"/>
      <c r="F50" s="171"/>
    </row>
    <row r="51" spans="1:6" hidden="1">
      <c r="A51" s="6" t="s">
        <v>296</v>
      </c>
      <c r="B51" s="151" t="s">
        <v>297</v>
      </c>
      <c r="C51" s="116" t="s">
        <v>9</v>
      </c>
      <c r="D51" s="149"/>
      <c r="E51" s="123">
        <f>1.75*500*1*1.2</f>
        <v>1050</v>
      </c>
      <c r="F51" s="171">
        <f>D51*E51</f>
        <v>0</v>
      </c>
    </row>
    <row r="52" spans="1:6" hidden="1">
      <c r="A52" s="6"/>
      <c r="B52" s="151"/>
      <c r="C52" s="116"/>
      <c r="D52" s="149"/>
      <c r="E52" s="123"/>
      <c r="F52" s="171"/>
    </row>
    <row r="53" spans="1:6" hidden="1">
      <c r="A53" s="6" t="s">
        <v>298</v>
      </c>
      <c r="B53" s="151" t="s">
        <v>299</v>
      </c>
      <c r="C53" s="116" t="s">
        <v>9</v>
      </c>
      <c r="D53" s="149"/>
      <c r="E53" s="123">
        <f>2.5*500*1*1.2</f>
        <v>1500</v>
      </c>
      <c r="F53" s="171">
        <f>D53*E53</f>
        <v>0</v>
      </c>
    </row>
    <row r="54" spans="1:6" ht="12.75" hidden="1" customHeight="1">
      <c r="A54" s="6"/>
      <c r="B54" s="151"/>
      <c r="C54" s="116"/>
      <c r="D54" s="149"/>
      <c r="E54" s="123"/>
      <c r="F54" s="171"/>
    </row>
    <row r="55" spans="1:6" hidden="1">
      <c r="A55" s="6" t="s">
        <v>298</v>
      </c>
      <c r="B55" s="151" t="s">
        <v>300</v>
      </c>
      <c r="C55" s="116" t="s">
        <v>9</v>
      </c>
      <c r="D55" s="149"/>
      <c r="E55" s="123">
        <f>3*500*1*1.2</f>
        <v>1800</v>
      </c>
      <c r="F55" s="171">
        <f>D55*E55</f>
        <v>0</v>
      </c>
    </row>
    <row r="56" spans="1:6" ht="12.75" hidden="1" customHeight="1">
      <c r="A56" s="6"/>
      <c r="B56" s="151"/>
      <c r="C56" s="116"/>
      <c r="D56" s="149"/>
      <c r="E56" s="123"/>
      <c r="F56" s="171"/>
    </row>
    <row r="57" spans="1:6" ht="13" thickBot="1">
      <c r="A57" s="6"/>
      <c r="B57" s="151"/>
      <c r="C57" s="116"/>
      <c r="D57" s="149"/>
      <c r="E57" s="150"/>
      <c r="F57" s="153"/>
    </row>
    <row r="58" spans="1:6" s="3" customFormat="1" ht="13" thickTop="1">
      <c r="A58" s="15"/>
      <c r="B58" s="10"/>
      <c r="C58" s="104"/>
      <c r="D58" s="119"/>
      <c r="E58" s="105"/>
      <c r="F58" s="80"/>
    </row>
    <row r="59" spans="1:6" s="3" customFormat="1" ht="13">
      <c r="A59" s="106"/>
      <c r="B59" s="107" t="s">
        <v>301</v>
      </c>
      <c r="C59" s="108"/>
      <c r="D59" s="120"/>
      <c r="E59" s="109"/>
      <c r="F59" s="75">
        <f>SUM(F5:F58)</f>
        <v>119224050</v>
      </c>
    </row>
    <row r="60" spans="1:6" s="3" customFormat="1" ht="13" thickBot="1">
      <c r="A60" s="12"/>
      <c r="B60" s="110"/>
      <c r="C60" s="111"/>
      <c r="D60" s="122"/>
      <c r="E60" s="112"/>
      <c r="F60" s="82"/>
    </row>
    <row r="61" spans="1:6" ht="13.5" thickTop="1">
      <c r="A61" s="15"/>
      <c r="B61" s="1543"/>
      <c r="C61" s="1543"/>
      <c r="D61" s="1543"/>
      <c r="E61" s="1543"/>
      <c r="F61" s="172"/>
    </row>
    <row r="62" spans="1:6" ht="12.75" customHeight="1">
      <c r="A62" s="1542" t="s">
        <v>261</v>
      </c>
      <c r="B62" s="1542"/>
      <c r="C62" s="1542"/>
      <c r="D62" s="1542"/>
      <c r="E62" s="1542"/>
      <c r="F62" s="1542"/>
    </row>
    <row r="63" spans="1:6" ht="13" thickBot="1">
      <c r="A63" s="91"/>
      <c r="D63" s="127"/>
      <c r="E63" s="128"/>
      <c r="F63" s="135"/>
    </row>
    <row r="64" spans="1:6" ht="27" thickTop="1" thickBot="1">
      <c r="A64" s="13" t="s">
        <v>4</v>
      </c>
      <c r="B64" s="129" t="s">
        <v>5</v>
      </c>
      <c r="C64" s="129" t="s">
        <v>6</v>
      </c>
      <c r="D64" s="173" t="s">
        <v>1</v>
      </c>
      <c r="E64" s="131" t="s">
        <v>7</v>
      </c>
      <c r="F64" s="76" t="s">
        <v>8</v>
      </c>
    </row>
    <row r="65" spans="1:42" ht="13" thickTop="1">
      <c r="A65" s="6"/>
      <c r="B65" s="151"/>
      <c r="C65" s="116"/>
      <c r="D65" s="149"/>
      <c r="E65" s="150"/>
      <c r="F65" s="171"/>
    </row>
    <row r="66" spans="1:42" hidden="1">
      <c r="A66" s="6" t="s">
        <v>298</v>
      </c>
      <c r="B66" s="151" t="s">
        <v>302</v>
      </c>
      <c r="C66" s="116" t="s">
        <v>9</v>
      </c>
      <c r="D66" s="149"/>
      <c r="E66" s="123">
        <f>3.5*500*1*1.2</f>
        <v>2100</v>
      </c>
      <c r="F66" s="171">
        <f>D66*E66</f>
        <v>0</v>
      </c>
    </row>
    <row r="67" spans="1:42" hidden="1">
      <c r="A67" s="6"/>
      <c r="B67" s="151"/>
      <c r="C67" s="116"/>
      <c r="D67" s="149"/>
      <c r="E67" s="150"/>
      <c r="F67" s="153"/>
    </row>
    <row r="68" spans="1:42" ht="13">
      <c r="A68" s="25"/>
      <c r="B68" s="148" t="s">
        <v>25</v>
      </c>
      <c r="C68" s="116"/>
      <c r="D68" s="149"/>
      <c r="E68" s="150"/>
      <c r="F68" s="171"/>
    </row>
    <row r="69" spans="1:42" ht="13">
      <c r="A69" s="25"/>
      <c r="B69" s="148"/>
      <c r="C69" s="116"/>
      <c r="D69" s="149"/>
      <c r="E69" s="150"/>
      <c r="F69" s="171"/>
    </row>
    <row r="70" spans="1:42" ht="26">
      <c r="A70" s="6"/>
      <c r="B70" s="174" t="s">
        <v>303</v>
      </c>
      <c r="C70" s="116"/>
      <c r="D70" s="149"/>
      <c r="E70" s="150"/>
      <c r="F70" s="171"/>
    </row>
    <row r="71" spans="1:42" ht="25" hidden="1">
      <c r="A71" s="6"/>
      <c r="B71" s="175" t="s">
        <v>304</v>
      </c>
      <c r="C71" s="116"/>
      <c r="D71" s="149"/>
      <c r="E71" s="150"/>
      <c r="F71" s="171"/>
    </row>
    <row r="72" spans="1:42" hidden="1">
      <c r="A72" s="6"/>
      <c r="B72" s="151"/>
      <c r="C72" s="116"/>
      <c r="D72" s="149"/>
      <c r="E72" s="150"/>
      <c r="F72" s="171"/>
    </row>
    <row r="73" spans="1:42" ht="13" hidden="1">
      <c r="A73" s="6"/>
      <c r="B73" s="176" t="s">
        <v>305</v>
      </c>
      <c r="C73" s="116"/>
      <c r="D73" s="149"/>
      <c r="E73" s="150"/>
      <c r="F73" s="171"/>
    </row>
    <row r="74" spans="1:42" ht="13" hidden="1">
      <c r="A74" s="6"/>
      <c r="B74" s="177"/>
      <c r="C74" s="116"/>
      <c r="D74" s="149"/>
      <c r="E74" s="150"/>
      <c r="F74" s="171"/>
    </row>
    <row r="75" spans="1:42" ht="13" hidden="1">
      <c r="A75" s="6"/>
      <c r="B75" s="152" t="s">
        <v>306</v>
      </c>
      <c r="C75" s="116"/>
      <c r="D75" s="149"/>
      <c r="E75" s="150"/>
      <c r="F75" s="171"/>
    </row>
    <row r="76" spans="1:42" ht="13" hidden="1">
      <c r="A76" s="6"/>
      <c r="B76" s="177"/>
      <c r="C76" s="116"/>
      <c r="D76" s="149"/>
      <c r="E76" s="150"/>
      <c r="F76" s="171"/>
    </row>
    <row r="77" spans="1:42" ht="14.5" hidden="1">
      <c r="A77" s="6" t="s">
        <v>307</v>
      </c>
      <c r="B77" s="151" t="s">
        <v>308</v>
      </c>
      <c r="C77" s="116" t="s">
        <v>10</v>
      </c>
      <c r="D77" s="149"/>
      <c r="E77" s="150">
        <v>6000</v>
      </c>
      <c r="F77" s="171">
        <f>D77*E77</f>
        <v>0</v>
      </c>
    </row>
    <row r="78" spans="1:42" hidden="1">
      <c r="A78" s="6"/>
      <c r="B78" s="151"/>
      <c r="C78" s="116"/>
      <c r="D78" s="149"/>
      <c r="E78" s="150"/>
      <c r="F78" s="171"/>
    </row>
    <row r="79" spans="1:42">
      <c r="A79" s="101"/>
      <c r="B79" s="151"/>
      <c r="C79" s="116"/>
      <c r="D79" s="149"/>
      <c r="E79" s="150"/>
      <c r="F79" s="178"/>
    </row>
    <row r="80" spans="1:42" s="241" customFormat="1" ht="14.5">
      <c r="A80" s="179"/>
      <c r="B80" s="180" t="s">
        <v>309</v>
      </c>
      <c r="C80" s="181"/>
      <c r="D80" s="182"/>
      <c r="E80" s="183"/>
      <c r="F80" s="184"/>
      <c r="G80" s="242"/>
      <c r="H80" s="239"/>
      <c r="I80" s="238"/>
      <c r="J80" s="239"/>
      <c r="K80" s="238"/>
      <c r="L80" s="239"/>
      <c r="M80" s="238"/>
      <c r="N80" s="239"/>
      <c r="O80" s="238"/>
      <c r="P80" s="239"/>
      <c r="Q80" s="238"/>
      <c r="R80" s="239"/>
      <c r="S80" s="238"/>
      <c r="T80" s="236">
        <f t="shared" ref="T80:T90" si="17">R80+P80</f>
        <v>0</v>
      </c>
      <c r="U80" s="238"/>
      <c r="V80" s="239"/>
      <c r="W80" s="238"/>
      <c r="X80" s="236">
        <f t="shared" ref="X80:X90" si="18">V80+T80</f>
        <v>0</v>
      </c>
      <c r="Y80" s="238"/>
      <c r="Z80" s="239"/>
      <c r="AA80" s="237">
        <f t="shared" ref="AA80:AB90" si="19">Y80+W80</f>
        <v>0</v>
      </c>
      <c r="AB80" s="236">
        <f t="shared" si="19"/>
        <v>0</v>
      </c>
      <c r="AC80" s="238"/>
      <c r="AD80" s="236">
        <f t="shared" ref="AD80:AD90" si="20">AC80*E80</f>
        <v>0</v>
      </c>
      <c r="AE80" s="237">
        <f t="shared" ref="AE80:AF90" si="21">AC80+AA80</f>
        <v>0</v>
      </c>
      <c r="AF80" s="236">
        <f t="shared" si="21"/>
        <v>0</v>
      </c>
      <c r="AG80" s="238"/>
      <c r="AH80" s="236">
        <f t="shared" ref="AH80:AH90" si="22">AG80*E80</f>
        <v>0</v>
      </c>
      <c r="AI80" s="237">
        <f t="shared" ref="AI80:AJ90" si="23">AG80+AE80</f>
        <v>0</v>
      </c>
      <c r="AJ80" s="236">
        <f t="shared" si="23"/>
        <v>0</v>
      </c>
      <c r="AK80" s="238"/>
      <c r="AL80" s="236">
        <f t="shared" ref="AL80:AL90" si="24">AK80*E80</f>
        <v>0</v>
      </c>
      <c r="AM80" s="237">
        <f t="shared" ref="AM80:AN90" si="25">AK80+AI80</f>
        <v>0</v>
      </c>
      <c r="AN80" s="236">
        <f t="shared" si="25"/>
        <v>0</v>
      </c>
      <c r="AO80" s="240"/>
      <c r="AP80" s="236">
        <f t="shared" ref="AP80:AP90" si="26">AO80*E80</f>
        <v>0</v>
      </c>
    </row>
    <row r="81" spans="1:42" s="241" customFormat="1" ht="14.5">
      <c r="A81" s="185"/>
      <c r="B81" s="146"/>
      <c r="C81" s="186"/>
      <c r="D81" s="182"/>
      <c r="E81" s="187"/>
      <c r="F81" s="170"/>
      <c r="G81" s="242"/>
      <c r="H81" s="239"/>
      <c r="I81" s="238"/>
      <c r="J81" s="239"/>
      <c r="K81" s="238"/>
      <c r="L81" s="239"/>
      <c r="M81" s="238"/>
      <c r="N81" s="239"/>
      <c r="O81" s="238"/>
      <c r="P81" s="239"/>
      <c r="Q81" s="238"/>
      <c r="R81" s="239"/>
      <c r="S81" s="238"/>
      <c r="T81" s="236">
        <f t="shared" si="17"/>
        <v>0</v>
      </c>
      <c r="U81" s="238"/>
      <c r="V81" s="239"/>
      <c r="W81" s="238"/>
      <c r="X81" s="236">
        <f t="shared" si="18"/>
        <v>0</v>
      </c>
      <c r="Y81" s="238"/>
      <c r="Z81" s="239"/>
      <c r="AA81" s="237">
        <f t="shared" si="19"/>
        <v>0</v>
      </c>
      <c r="AB81" s="236">
        <f t="shared" si="19"/>
        <v>0</v>
      </c>
      <c r="AC81" s="238"/>
      <c r="AD81" s="236">
        <f t="shared" si="20"/>
        <v>0</v>
      </c>
      <c r="AE81" s="237">
        <f t="shared" si="21"/>
        <v>0</v>
      </c>
      <c r="AF81" s="236">
        <f t="shared" si="21"/>
        <v>0</v>
      </c>
      <c r="AG81" s="238"/>
      <c r="AH81" s="236">
        <f t="shared" si="22"/>
        <v>0</v>
      </c>
      <c r="AI81" s="237">
        <f t="shared" si="23"/>
        <v>0</v>
      </c>
      <c r="AJ81" s="236">
        <f t="shared" si="23"/>
        <v>0</v>
      </c>
      <c r="AK81" s="238"/>
      <c r="AL81" s="236">
        <f t="shared" si="24"/>
        <v>0</v>
      </c>
      <c r="AM81" s="237">
        <f t="shared" si="25"/>
        <v>0</v>
      </c>
      <c r="AN81" s="236">
        <f t="shared" si="25"/>
        <v>0</v>
      </c>
      <c r="AO81" s="240"/>
      <c r="AP81" s="236">
        <f t="shared" si="26"/>
        <v>0</v>
      </c>
    </row>
    <row r="82" spans="1:42" s="241" customFormat="1" ht="14.5">
      <c r="A82" s="185" t="s">
        <v>310</v>
      </c>
      <c r="B82" s="146" t="s">
        <v>311</v>
      </c>
      <c r="C82" s="186" t="s">
        <v>10</v>
      </c>
      <c r="D82" s="182">
        <f>'[34]TAKE OFF sHEET'!H7</f>
        <v>7</v>
      </c>
      <c r="E82" s="187">
        <v>54845</v>
      </c>
      <c r="F82" s="170">
        <f>D82*E82</f>
        <v>383915</v>
      </c>
      <c r="G82" s="242"/>
      <c r="H82" s="239"/>
      <c r="I82" s="238">
        <v>34</v>
      </c>
      <c r="J82" s="239">
        <f>E82*I82</f>
        <v>1864730</v>
      </c>
      <c r="K82" s="238">
        <f>I82+G82</f>
        <v>34</v>
      </c>
      <c r="L82" s="239">
        <f>J82+H82</f>
        <v>1864730</v>
      </c>
      <c r="M82" s="238">
        <v>70</v>
      </c>
      <c r="N82" s="239">
        <f>I82*M82</f>
        <v>2380</v>
      </c>
      <c r="O82" s="238">
        <f>M82+K82</f>
        <v>104</v>
      </c>
      <c r="P82" s="239">
        <f>N82+L82</f>
        <v>1867110</v>
      </c>
      <c r="Q82" s="238">
        <v>22</v>
      </c>
      <c r="R82" s="239">
        <f>Q82*E82</f>
        <v>1206590</v>
      </c>
      <c r="S82" s="238">
        <f>Q82+O82</f>
        <v>126</v>
      </c>
      <c r="T82" s="236">
        <f t="shared" si="17"/>
        <v>3073700</v>
      </c>
      <c r="U82" s="238"/>
      <c r="V82" s="239">
        <f>U82*I82</f>
        <v>0</v>
      </c>
      <c r="W82" s="238">
        <f>U82+S82</f>
        <v>126</v>
      </c>
      <c r="X82" s="236">
        <f t="shared" si="18"/>
        <v>3073700</v>
      </c>
      <c r="Y82" s="238"/>
      <c r="Z82" s="239">
        <f>Y82*M82</f>
        <v>0</v>
      </c>
      <c r="AA82" s="237">
        <f t="shared" si="19"/>
        <v>126</v>
      </c>
      <c r="AB82" s="236">
        <f t="shared" si="19"/>
        <v>3073700</v>
      </c>
      <c r="AC82" s="238"/>
      <c r="AD82" s="236">
        <f t="shared" si="20"/>
        <v>0</v>
      </c>
      <c r="AE82" s="237">
        <f t="shared" si="21"/>
        <v>126</v>
      </c>
      <c r="AF82" s="236">
        <f t="shared" si="21"/>
        <v>3073700</v>
      </c>
      <c r="AG82" s="238"/>
      <c r="AH82" s="236">
        <f t="shared" si="22"/>
        <v>0</v>
      </c>
      <c r="AI82" s="237">
        <f t="shared" si="23"/>
        <v>126</v>
      </c>
      <c r="AJ82" s="236">
        <f t="shared" si="23"/>
        <v>3073700</v>
      </c>
      <c r="AK82" s="238"/>
      <c r="AL82" s="236">
        <f t="shared" si="24"/>
        <v>0</v>
      </c>
      <c r="AM82" s="237">
        <f t="shared" si="25"/>
        <v>126</v>
      </c>
      <c r="AN82" s="236">
        <f t="shared" si="25"/>
        <v>3073700</v>
      </c>
      <c r="AO82" s="240"/>
      <c r="AP82" s="236">
        <f t="shared" si="26"/>
        <v>0</v>
      </c>
    </row>
    <row r="83" spans="1:42" s="241" customFormat="1" ht="14.5">
      <c r="A83" s="185"/>
      <c r="B83" s="188"/>
      <c r="C83" s="181"/>
      <c r="D83" s="182">
        <f>'[34]TAKE OFF sHEET'!H8</f>
        <v>0</v>
      </c>
      <c r="E83" s="183"/>
      <c r="F83" s="166"/>
      <c r="G83" s="242"/>
      <c r="H83" s="239"/>
      <c r="I83" s="238"/>
      <c r="J83" s="239"/>
      <c r="K83" s="238"/>
      <c r="L83" s="239"/>
      <c r="M83" s="238"/>
      <c r="N83" s="239"/>
      <c r="O83" s="238"/>
      <c r="P83" s="239"/>
      <c r="Q83" s="238"/>
      <c r="R83" s="239"/>
      <c r="S83" s="238"/>
      <c r="T83" s="236">
        <f t="shared" si="17"/>
        <v>0</v>
      </c>
      <c r="U83" s="238"/>
      <c r="V83" s="239"/>
      <c r="W83" s="238"/>
      <c r="X83" s="236">
        <f t="shared" si="18"/>
        <v>0</v>
      </c>
      <c r="Y83" s="238"/>
      <c r="Z83" s="239"/>
      <c r="AA83" s="237">
        <f t="shared" si="19"/>
        <v>0</v>
      </c>
      <c r="AB83" s="236">
        <f t="shared" si="19"/>
        <v>0</v>
      </c>
      <c r="AC83" s="238"/>
      <c r="AD83" s="236">
        <f t="shared" si="20"/>
        <v>0</v>
      </c>
      <c r="AE83" s="237">
        <f t="shared" si="21"/>
        <v>0</v>
      </c>
      <c r="AF83" s="236">
        <f t="shared" si="21"/>
        <v>0</v>
      </c>
      <c r="AG83" s="238"/>
      <c r="AH83" s="236">
        <f t="shared" si="22"/>
        <v>0</v>
      </c>
      <c r="AI83" s="237">
        <f t="shared" si="23"/>
        <v>0</v>
      </c>
      <c r="AJ83" s="236">
        <f t="shared" si="23"/>
        <v>0</v>
      </c>
      <c r="AK83" s="238"/>
      <c r="AL83" s="236">
        <f t="shared" si="24"/>
        <v>0</v>
      </c>
      <c r="AM83" s="237">
        <f t="shared" si="25"/>
        <v>0</v>
      </c>
      <c r="AN83" s="236">
        <f t="shared" si="25"/>
        <v>0</v>
      </c>
      <c r="AO83" s="240"/>
      <c r="AP83" s="236">
        <f t="shared" si="26"/>
        <v>0</v>
      </c>
    </row>
    <row r="84" spans="1:42" s="241" customFormat="1" ht="14.5">
      <c r="A84" s="185" t="s">
        <v>312</v>
      </c>
      <c r="B84" s="189" t="s">
        <v>313</v>
      </c>
      <c r="C84" s="186" t="s">
        <v>10</v>
      </c>
      <c r="D84" s="182">
        <f>'[34]TAKE OFF sHEET'!H9</f>
        <v>10</v>
      </c>
      <c r="E84" s="187">
        <v>57585</v>
      </c>
      <c r="F84" s="170">
        <f>D84*E84</f>
        <v>575850</v>
      </c>
      <c r="G84" s="242"/>
      <c r="H84" s="239"/>
      <c r="I84" s="238">
        <v>6</v>
      </c>
      <c r="J84" s="239">
        <f>E84*I84</f>
        <v>345510</v>
      </c>
      <c r="K84" s="238">
        <f>I84+G84</f>
        <v>6</v>
      </c>
      <c r="L84" s="239">
        <f>J84+H84</f>
        <v>345510</v>
      </c>
      <c r="M84" s="238">
        <v>14</v>
      </c>
      <c r="N84" s="239">
        <f>I84*M84</f>
        <v>84</v>
      </c>
      <c r="O84" s="238">
        <f>M84+K84</f>
        <v>20</v>
      </c>
      <c r="P84" s="239">
        <f>N84+L84</f>
        <v>345594</v>
      </c>
      <c r="Q84" s="238">
        <v>14</v>
      </c>
      <c r="R84" s="239">
        <f>Q84*E84</f>
        <v>806190</v>
      </c>
      <c r="S84" s="238">
        <f>Q84+O84</f>
        <v>34</v>
      </c>
      <c r="T84" s="236">
        <f t="shared" si="17"/>
        <v>1151784</v>
      </c>
      <c r="U84" s="238"/>
      <c r="V84" s="239">
        <f>U84*I84</f>
        <v>0</v>
      </c>
      <c r="W84" s="238">
        <f>U84+S84</f>
        <v>34</v>
      </c>
      <c r="X84" s="236">
        <f t="shared" si="18"/>
        <v>1151784</v>
      </c>
      <c r="Y84" s="238"/>
      <c r="Z84" s="239">
        <f>Y84*M84</f>
        <v>0</v>
      </c>
      <c r="AA84" s="237">
        <f t="shared" si="19"/>
        <v>34</v>
      </c>
      <c r="AB84" s="236">
        <f t="shared" si="19"/>
        <v>1151784</v>
      </c>
      <c r="AC84" s="238"/>
      <c r="AD84" s="236">
        <f t="shared" si="20"/>
        <v>0</v>
      </c>
      <c r="AE84" s="237">
        <f t="shared" si="21"/>
        <v>34</v>
      </c>
      <c r="AF84" s="236">
        <f t="shared" si="21"/>
        <v>1151784</v>
      </c>
      <c r="AG84" s="238"/>
      <c r="AH84" s="236">
        <f t="shared" si="22"/>
        <v>0</v>
      </c>
      <c r="AI84" s="237">
        <f t="shared" si="23"/>
        <v>34</v>
      </c>
      <c r="AJ84" s="236">
        <f t="shared" si="23"/>
        <v>1151784</v>
      </c>
      <c r="AK84" s="238"/>
      <c r="AL84" s="236">
        <f t="shared" si="24"/>
        <v>0</v>
      </c>
      <c r="AM84" s="237">
        <f t="shared" si="25"/>
        <v>34</v>
      </c>
      <c r="AN84" s="236">
        <f t="shared" si="25"/>
        <v>1151784</v>
      </c>
      <c r="AO84" s="240"/>
      <c r="AP84" s="236">
        <f t="shared" si="26"/>
        <v>0</v>
      </c>
    </row>
    <row r="85" spans="1:42" s="241" customFormat="1" ht="14.5">
      <c r="A85" s="185"/>
      <c r="B85" s="146"/>
      <c r="C85" s="186"/>
      <c r="D85" s="182">
        <f>'[34]TAKE OFF sHEET'!H10</f>
        <v>0</v>
      </c>
      <c r="E85" s="187"/>
      <c r="F85" s="170"/>
      <c r="G85" s="242"/>
      <c r="H85" s="239"/>
      <c r="I85" s="238"/>
      <c r="J85" s="239"/>
      <c r="K85" s="238"/>
      <c r="L85" s="239"/>
      <c r="M85" s="238"/>
      <c r="N85" s="239"/>
      <c r="O85" s="238"/>
      <c r="P85" s="239"/>
      <c r="Q85" s="238"/>
      <c r="R85" s="239"/>
      <c r="S85" s="238"/>
      <c r="T85" s="236">
        <f t="shared" si="17"/>
        <v>0</v>
      </c>
      <c r="U85" s="238"/>
      <c r="V85" s="239"/>
      <c r="W85" s="238"/>
      <c r="X85" s="236">
        <f t="shared" si="18"/>
        <v>0</v>
      </c>
      <c r="Y85" s="238"/>
      <c r="Z85" s="239"/>
      <c r="AA85" s="237">
        <f t="shared" si="19"/>
        <v>0</v>
      </c>
      <c r="AB85" s="236">
        <f t="shared" si="19"/>
        <v>0</v>
      </c>
      <c r="AC85" s="238"/>
      <c r="AD85" s="236">
        <f t="shared" si="20"/>
        <v>0</v>
      </c>
      <c r="AE85" s="237">
        <f t="shared" si="21"/>
        <v>0</v>
      </c>
      <c r="AF85" s="236">
        <f t="shared" si="21"/>
        <v>0</v>
      </c>
      <c r="AG85" s="238"/>
      <c r="AH85" s="236">
        <f t="shared" si="22"/>
        <v>0</v>
      </c>
      <c r="AI85" s="237">
        <f t="shared" si="23"/>
        <v>0</v>
      </c>
      <c r="AJ85" s="236">
        <f t="shared" si="23"/>
        <v>0</v>
      </c>
      <c r="AK85" s="238"/>
      <c r="AL85" s="236">
        <f t="shared" si="24"/>
        <v>0</v>
      </c>
      <c r="AM85" s="237">
        <f t="shared" si="25"/>
        <v>0</v>
      </c>
      <c r="AN85" s="236">
        <f t="shared" si="25"/>
        <v>0</v>
      </c>
      <c r="AO85" s="240"/>
      <c r="AP85" s="236">
        <f t="shared" si="26"/>
        <v>0</v>
      </c>
    </row>
    <row r="86" spans="1:42" s="241" customFormat="1" ht="14.5">
      <c r="A86" s="185" t="s">
        <v>314</v>
      </c>
      <c r="B86" s="189" t="s">
        <v>315</v>
      </c>
      <c r="C86" s="186" t="s">
        <v>10</v>
      </c>
      <c r="D86" s="182">
        <f>'[34]TAKE OFF sHEET'!H11</f>
        <v>7</v>
      </c>
      <c r="E86" s="187">
        <v>60500</v>
      </c>
      <c r="F86" s="170">
        <f>D86*E86</f>
        <v>423500</v>
      </c>
      <c r="G86" s="242"/>
      <c r="H86" s="239"/>
      <c r="I86" s="238"/>
      <c r="J86" s="239"/>
      <c r="K86" s="238"/>
      <c r="L86" s="239"/>
      <c r="M86" s="238"/>
      <c r="N86" s="239"/>
      <c r="O86" s="238"/>
      <c r="P86" s="239"/>
      <c r="Q86" s="238"/>
      <c r="R86" s="239"/>
      <c r="S86" s="238"/>
      <c r="T86" s="236">
        <f t="shared" si="17"/>
        <v>0</v>
      </c>
      <c r="U86" s="238"/>
      <c r="V86" s="239"/>
      <c r="W86" s="238"/>
      <c r="X86" s="236">
        <f t="shared" si="18"/>
        <v>0</v>
      </c>
      <c r="Y86" s="238"/>
      <c r="Z86" s="239"/>
      <c r="AA86" s="237">
        <f t="shared" si="19"/>
        <v>0</v>
      </c>
      <c r="AB86" s="236">
        <f t="shared" si="19"/>
        <v>0</v>
      </c>
      <c r="AC86" s="238"/>
      <c r="AD86" s="236">
        <f t="shared" si="20"/>
        <v>0</v>
      </c>
      <c r="AE86" s="237">
        <f t="shared" si="21"/>
        <v>0</v>
      </c>
      <c r="AF86" s="236">
        <f t="shared" si="21"/>
        <v>0</v>
      </c>
      <c r="AG86" s="238"/>
      <c r="AH86" s="236">
        <f t="shared" si="22"/>
        <v>0</v>
      </c>
      <c r="AI86" s="237">
        <f t="shared" si="23"/>
        <v>0</v>
      </c>
      <c r="AJ86" s="236">
        <f t="shared" si="23"/>
        <v>0</v>
      </c>
      <c r="AK86" s="238"/>
      <c r="AL86" s="236">
        <f t="shared" si="24"/>
        <v>0</v>
      </c>
      <c r="AM86" s="237">
        <f t="shared" si="25"/>
        <v>0</v>
      </c>
      <c r="AN86" s="236">
        <f t="shared" si="25"/>
        <v>0</v>
      </c>
      <c r="AO86" s="240"/>
      <c r="AP86" s="236">
        <f t="shared" si="26"/>
        <v>0</v>
      </c>
    </row>
    <row r="87" spans="1:42" s="241" customFormat="1" ht="14.5">
      <c r="A87" s="185"/>
      <c r="B87" s="188"/>
      <c r="C87" s="181"/>
      <c r="D87" s="182">
        <f>'[34]TAKE OFF sHEET'!H12</f>
        <v>0</v>
      </c>
      <c r="E87" s="183"/>
      <c r="F87" s="184"/>
      <c r="G87" s="242"/>
      <c r="H87" s="239"/>
      <c r="I87" s="238"/>
      <c r="J87" s="239"/>
      <c r="K87" s="238"/>
      <c r="L87" s="239"/>
      <c r="M87" s="238"/>
      <c r="N87" s="239"/>
      <c r="O87" s="238"/>
      <c r="P87" s="239"/>
      <c r="Q87" s="238"/>
      <c r="R87" s="239"/>
      <c r="S87" s="238"/>
      <c r="T87" s="236">
        <f t="shared" si="17"/>
        <v>0</v>
      </c>
      <c r="U87" s="238"/>
      <c r="V87" s="239"/>
      <c r="W87" s="238"/>
      <c r="X87" s="236">
        <f t="shared" si="18"/>
        <v>0</v>
      </c>
      <c r="Y87" s="238"/>
      <c r="Z87" s="239"/>
      <c r="AA87" s="237">
        <f t="shared" si="19"/>
        <v>0</v>
      </c>
      <c r="AB87" s="236">
        <f t="shared" si="19"/>
        <v>0</v>
      </c>
      <c r="AC87" s="238"/>
      <c r="AD87" s="236">
        <f t="shared" si="20"/>
        <v>0</v>
      </c>
      <c r="AE87" s="237">
        <f t="shared" si="21"/>
        <v>0</v>
      </c>
      <c r="AF87" s="236">
        <f t="shared" si="21"/>
        <v>0</v>
      </c>
      <c r="AG87" s="238"/>
      <c r="AH87" s="236">
        <f t="shared" si="22"/>
        <v>0</v>
      </c>
      <c r="AI87" s="237">
        <f t="shared" si="23"/>
        <v>0</v>
      </c>
      <c r="AJ87" s="236">
        <f t="shared" si="23"/>
        <v>0</v>
      </c>
      <c r="AK87" s="238"/>
      <c r="AL87" s="236">
        <f t="shared" si="24"/>
        <v>0</v>
      </c>
      <c r="AM87" s="237">
        <f t="shared" si="25"/>
        <v>0</v>
      </c>
      <c r="AN87" s="236">
        <f t="shared" si="25"/>
        <v>0</v>
      </c>
      <c r="AO87" s="240"/>
      <c r="AP87" s="236">
        <f t="shared" si="26"/>
        <v>0</v>
      </c>
    </row>
    <row r="88" spans="1:42" s="241" customFormat="1" ht="14.5">
      <c r="A88" s="185" t="s">
        <v>316</v>
      </c>
      <c r="B88" s="189" t="s">
        <v>317</v>
      </c>
      <c r="C88" s="186" t="s">
        <v>10</v>
      </c>
      <c r="D88" s="182">
        <f>'[34]TAKE OFF sHEET'!H13</f>
        <v>12</v>
      </c>
      <c r="E88" s="187">
        <v>66500</v>
      </c>
      <c r="F88" s="170">
        <f>D88*E88</f>
        <v>798000</v>
      </c>
      <c r="G88" s="242"/>
      <c r="H88" s="239"/>
      <c r="I88" s="238"/>
      <c r="J88" s="239"/>
      <c r="K88" s="238"/>
      <c r="L88" s="239"/>
      <c r="M88" s="238"/>
      <c r="N88" s="239"/>
      <c r="O88" s="238"/>
      <c r="P88" s="239"/>
      <c r="Q88" s="238"/>
      <c r="R88" s="239"/>
      <c r="S88" s="238"/>
      <c r="T88" s="236">
        <f t="shared" si="17"/>
        <v>0</v>
      </c>
      <c r="U88" s="238"/>
      <c r="V88" s="239"/>
      <c r="W88" s="238"/>
      <c r="X88" s="236">
        <f t="shared" si="18"/>
        <v>0</v>
      </c>
      <c r="Y88" s="238">
        <v>25</v>
      </c>
      <c r="Z88" s="239">
        <f>Y88*E88</f>
        <v>1662500</v>
      </c>
      <c r="AA88" s="237">
        <f t="shared" si="19"/>
        <v>25</v>
      </c>
      <c r="AB88" s="236">
        <f t="shared" si="19"/>
        <v>1662500</v>
      </c>
      <c r="AC88" s="238">
        <v>35</v>
      </c>
      <c r="AD88" s="236">
        <f t="shared" si="20"/>
        <v>2327500</v>
      </c>
      <c r="AE88" s="237">
        <f t="shared" si="21"/>
        <v>60</v>
      </c>
      <c r="AF88" s="236">
        <f t="shared" si="21"/>
        <v>3990000</v>
      </c>
      <c r="AG88" s="238">
        <v>18</v>
      </c>
      <c r="AH88" s="236">
        <f t="shared" si="22"/>
        <v>1197000</v>
      </c>
      <c r="AI88" s="237">
        <f t="shared" si="23"/>
        <v>78</v>
      </c>
      <c r="AJ88" s="236">
        <f t="shared" si="23"/>
        <v>5187000</v>
      </c>
      <c r="AK88" s="238">
        <v>5</v>
      </c>
      <c r="AL88" s="236">
        <f t="shared" si="24"/>
        <v>332500</v>
      </c>
      <c r="AM88" s="237">
        <f t="shared" si="25"/>
        <v>83</v>
      </c>
      <c r="AN88" s="236">
        <f t="shared" si="25"/>
        <v>5519500</v>
      </c>
      <c r="AO88" s="240">
        <v>4</v>
      </c>
      <c r="AP88" s="236">
        <f t="shared" si="26"/>
        <v>266000</v>
      </c>
    </row>
    <row r="89" spans="1:42" s="241" customFormat="1" ht="14.5">
      <c r="A89" s="185"/>
      <c r="B89" s="188"/>
      <c r="C89" s="181"/>
      <c r="D89" s="182">
        <f>'[34]TAKE OFF sHEET'!H14</f>
        <v>0</v>
      </c>
      <c r="E89" s="183"/>
      <c r="F89" s="166"/>
      <c r="G89" s="242"/>
      <c r="H89" s="239"/>
      <c r="I89" s="238"/>
      <c r="J89" s="239"/>
      <c r="K89" s="238"/>
      <c r="L89" s="239"/>
      <c r="M89" s="238"/>
      <c r="N89" s="239"/>
      <c r="O89" s="238"/>
      <c r="P89" s="239"/>
      <c r="Q89" s="238"/>
      <c r="R89" s="239"/>
      <c r="S89" s="238"/>
      <c r="T89" s="236">
        <f t="shared" si="17"/>
        <v>0</v>
      </c>
      <c r="U89" s="238"/>
      <c r="V89" s="239"/>
      <c r="W89" s="238"/>
      <c r="X89" s="236">
        <f t="shared" si="18"/>
        <v>0</v>
      </c>
      <c r="Y89" s="238"/>
      <c r="Z89" s="239"/>
      <c r="AA89" s="237">
        <f t="shared" si="19"/>
        <v>0</v>
      </c>
      <c r="AB89" s="236">
        <f t="shared" si="19"/>
        <v>0</v>
      </c>
      <c r="AC89" s="238"/>
      <c r="AD89" s="236">
        <f t="shared" si="20"/>
        <v>0</v>
      </c>
      <c r="AE89" s="237">
        <f t="shared" si="21"/>
        <v>0</v>
      </c>
      <c r="AF89" s="236">
        <f t="shared" si="21"/>
        <v>0</v>
      </c>
      <c r="AG89" s="238"/>
      <c r="AH89" s="236">
        <f t="shared" si="22"/>
        <v>0</v>
      </c>
      <c r="AI89" s="237">
        <f t="shared" si="23"/>
        <v>0</v>
      </c>
      <c r="AJ89" s="236">
        <f t="shared" si="23"/>
        <v>0</v>
      </c>
      <c r="AK89" s="238"/>
      <c r="AL89" s="236">
        <f t="shared" si="24"/>
        <v>0</v>
      </c>
      <c r="AM89" s="237">
        <f t="shared" si="25"/>
        <v>0</v>
      </c>
      <c r="AN89" s="236">
        <f t="shared" si="25"/>
        <v>0</v>
      </c>
      <c r="AO89" s="240"/>
      <c r="AP89" s="236">
        <f t="shared" si="26"/>
        <v>0</v>
      </c>
    </row>
    <row r="90" spans="1:42" s="241" customFormat="1" ht="14.5">
      <c r="A90" s="185" t="s">
        <v>318</v>
      </c>
      <c r="B90" s="189" t="s">
        <v>319</v>
      </c>
      <c r="C90" s="186" t="s">
        <v>10</v>
      </c>
      <c r="D90" s="182">
        <f>'[34]TAKE OFF sHEET'!H15</f>
        <v>16</v>
      </c>
      <c r="E90" s="187">
        <v>73165</v>
      </c>
      <c r="F90" s="170">
        <f>D90*E90</f>
        <v>1170640</v>
      </c>
      <c r="G90" s="242"/>
      <c r="H90" s="239"/>
      <c r="I90" s="238"/>
      <c r="J90" s="239"/>
      <c r="K90" s="238"/>
      <c r="L90" s="239"/>
      <c r="M90" s="238"/>
      <c r="N90" s="239"/>
      <c r="O90" s="238"/>
      <c r="P90" s="239"/>
      <c r="Q90" s="238">
        <v>3</v>
      </c>
      <c r="R90" s="239">
        <f>Q90*E90</f>
        <v>219495</v>
      </c>
      <c r="S90" s="238">
        <f>Q90+O90</f>
        <v>3</v>
      </c>
      <c r="T90" s="236">
        <f t="shared" si="17"/>
        <v>219495</v>
      </c>
      <c r="U90" s="238">
        <v>14</v>
      </c>
      <c r="V90" s="239">
        <f>U90*E90</f>
        <v>1024310</v>
      </c>
      <c r="W90" s="238">
        <f>U90+S90</f>
        <v>17</v>
      </c>
      <c r="X90" s="236">
        <f t="shared" si="18"/>
        <v>1243805</v>
      </c>
      <c r="Y90" s="238">
        <v>8</v>
      </c>
      <c r="Z90" s="239">
        <f>Y90*E90</f>
        <v>585320</v>
      </c>
      <c r="AA90" s="237">
        <f t="shared" si="19"/>
        <v>25</v>
      </c>
      <c r="AB90" s="236">
        <f t="shared" si="19"/>
        <v>1829125</v>
      </c>
      <c r="AC90" s="238">
        <v>5</v>
      </c>
      <c r="AD90" s="236">
        <f t="shared" si="20"/>
        <v>365825</v>
      </c>
      <c r="AE90" s="237">
        <f t="shared" si="21"/>
        <v>30</v>
      </c>
      <c r="AF90" s="236">
        <f t="shared" si="21"/>
        <v>2194950</v>
      </c>
      <c r="AG90" s="238"/>
      <c r="AH90" s="236">
        <f t="shared" si="22"/>
        <v>0</v>
      </c>
      <c r="AI90" s="237">
        <f t="shared" si="23"/>
        <v>30</v>
      </c>
      <c r="AJ90" s="236">
        <f t="shared" si="23"/>
        <v>2194950</v>
      </c>
      <c r="AK90" s="238"/>
      <c r="AL90" s="236">
        <f t="shared" si="24"/>
        <v>0</v>
      </c>
      <c r="AM90" s="237">
        <f t="shared" si="25"/>
        <v>30</v>
      </c>
      <c r="AN90" s="236">
        <f t="shared" si="25"/>
        <v>2194950</v>
      </c>
      <c r="AO90" s="240">
        <v>2</v>
      </c>
      <c r="AP90" s="236">
        <f t="shared" si="26"/>
        <v>146330</v>
      </c>
    </row>
    <row r="91" spans="1:42">
      <c r="A91" s="6"/>
      <c r="B91" s="151"/>
      <c r="C91" s="116"/>
      <c r="D91" s="149"/>
      <c r="E91" s="150"/>
      <c r="F91" s="171"/>
    </row>
    <row r="92" spans="1:42" ht="13" hidden="1">
      <c r="A92" s="6"/>
      <c r="B92" s="152" t="s">
        <v>320</v>
      </c>
      <c r="C92" s="116"/>
      <c r="D92" s="149"/>
      <c r="E92" s="150"/>
      <c r="F92" s="171"/>
    </row>
    <row r="93" spans="1:42" hidden="1">
      <c r="A93" s="6"/>
      <c r="B93" s="151"/>
      <c r="C93" s="116"/>
      <c r="D93" s="149"/>
      <c r="E93" s="150"/>
      <c r="F93" s="171"/>
    </row>
    <row r="94" spans="1:42" ht="14.5" hidden="1">
      <c r="A94" s="6" t="s">
        <v>321</v>
      </c>
      <c r="B94" s="151" t="s">
        <v>322</v>
      </c>
      <c r="C94" s="116" t="s">
        <v>10</v>
      </c>
      <c r="D94" s="149"/>
      <c r="E94" s="150">
        <v>30000</v>
      </c>
      <c r="F94" s="171">
        <f>D94*E94</f>
        <v>0</v>
      </c>
    </row>
    <row r="95" spans="1:42" hidden="1">
      <c r="A95" s="6"/>
      <c r="B95" s="151"/>
      <c r="C95" s="116"/>
      <c r="D95" s="149"/>
      <c r="E95" s="150"/>
      <c r="F95" s="171"/>
    </row>
    <row r="96" spans="1:42" ht="14.5" hidden="1">
      <c r="A96" s="6" t="s">
        <v>323</v>
      </c>
      <c r="B96" s="151" t="s">
        <v>324</v>
      </c>
      <c r="C96" s="116" t="s">
        <v>10</v>
      </c>
      <c r="D96" s="149"/>
      <c r="E96" s="150">
        <v>21000</v>
      </c>
      <c r="F96" s="171">
        <f>D96*E96</f>
        <v>0</v>
      </c>
    </row>
    <row r="97" spans="1:42" hidden="1">
      <c r="A97" s="6"/>
      <c r="B97" s="151"/>
      <c r="C97" s="116"/>
      <c r="D97" s="149"/>
      <c r="E97" s="150"/>
      <c r="F97" s="171"/>
    </row>
    <row r="98" spans="1:42" ht="14.5" hidden="1">
      <c r="A98" s="6" t="s">
        <v>323</v>
      </c>
      <c r="B98" s="151" t="s">
        <v>325</v>
      </c>
      <c r="C98" s="116" t="s">
        <v>10</v>
      </c>
      <c r="D98" s="149"/>
      <c r="E98" s="150">
        <v>21000</v>
      </c>
      <c r="F98" s="171">
        <f>D98*E98</f>
        <v>0</v>
      </c>
    </row>
    <row r="99" spans="1:42" hidden="1">
      <c r="A99" s="6"/>
      <c r="B99" s="151"/>
      <c r="C99" s="116"/>
      <c r="D99" s="149"/>
      <c r="E99" s="150"/>
      <c r="F99" s="171"/>
    </row>
    <row r="100" spans="1:42" ht="14.5" hidden="1">
      <c r="A100" s="6" t="s">
        <v>326</v>
      </c>
      <c r="B100" s="151" t="s">
        <v>327</v>
      </c>
      <c r="C100" s="116" t="s">
        <v>10</v>
      </c>
      <c r="D100" s="149"/>
      <c r="E100" s="150">
        <v>21000</v>
      </c>
      <c r="F100" s="171">
        <f>D100*E100</f>
        <v>0</v>
      </c>
    </row>
    <row r="101" spans="1:42" s="134" customFormat="1" ht="13">
      <c r="A101" s="179"/>
      <c r="B101" s="180" t="s">
        <v>328</v>
      </c>
      <c r="C101" s="181"/>
      <c r="D101" s="182"/>
      <c r="E101" s="183"/>
      <c r="F101" s="184"/>
      <c r="G101" s="242"/>
      <c r="H101" s="239"/>
      <c r="I101" s="238"/>
      <c r="J101" s="239"/>
      <c r="K101" s="238"/>
      <c r="L101" s="239"/>
      <c r="M101" s="238"/>
      <c r="N101" s="239"/>
      <c r="O101" s="238"/>
      <c r="P101" s="239"/>
      <c r="Q101" s="238"/>
      <c r="R101" s="239"/>
      <c r="S101" s="238"/>
      <c r="T101" s="236">
        <f t="shared" ref="T101:T129" si="27">R101+P101</f>
        <v>0</v>
      </c>
      <c r="U101" s="238"/>
      <c r="V101" s="239"/>
      <c r="W101" s="238"/>
      <c r="X101" s="236">
        <f t="shared" ref="X101:X129" si="28">V101+T101</f>
        <v>0</v>
      </c>
      <c r="Y101" s="238"/>
      <c r="Z101" s="239"/>
      <c r="AA101" s="237">
        <f t="shared" ref="AA101:AB129" si="29">Y101+W101</f>
        <v>0</v>
      </c>
      <c r="AB101" s="236">
        <f t="shared" si="29"/>
        <v>0</v>
      </c>
      <c r="AC101" s="238"/>
      <c r="AD101" s="236">
        <f t="shared" ref="AD101:AD129" si="30">AC101*E101</f>
        <v>0</v>
      </c>
      <c r="AE101" s="237">
        <f t="shared" ref="AE101:AF129" si="31">AC101+AA101</f>
        <v>0</v>
      </c>
      <c r="AF101" s="236">
        <f t="shared" si="31"/>
        <v>0</v>
      </c>
      <c r="AG101" s="238"/>
      <c r="AH101" s="236">
        <f t="shared" ref="AH101:AH129" si="32">AG101*E101</f>
        <v>0</v>
      </c>
      <c r="AI101" s="237">
        <f t="shared" ref="AI101:AJ129" si="33">AG101+AE101</f>
        <v>0</v>
      </c>
      <c r="AJ101" s="236">
        <f t="shared" si="33"/>
        <v>0</v>
      </c>
      <c r="AK101" s="238"/>
      <c r="AL101" s="236">
        <f t="shared" ref="AL101:AL129" si="34">AK101*E101</f>
        <v>0</v>
      </c>
      <c r="AM101" s="237">
        <f t="shared" ref="AM101:AN113" si="35">AK101+AI101</f>
        <v>0</v>
      </c>
      <c r="AN101" s="236">
        <f t="shared" si="35"/>
        <v>0</v>
      </c>
      <c r="AO101" s="240"/>
      <c r="AP101" s="236">
        <f t="shared" ref="AP101:AP129" si="36">AO101*E101</f>
        <v>0</v>
      </c>
    </row>
    <row r="102" spans="1:42" s="134" customFormat="1">
      <c r="A102" s="185"/>
      <c r="B102" s="146"/>
      <c r="C102" s="186"/>
      <c r="D102" s="182"/>
      <c r="E102" s="187"/>
      <c r="F102" s="170"/>
      <c r="G102" s="242"/>
      <c r="H102" s="239"/>
      <c r="I102" s="238"/>
      <c r="J102" s="239"/>
      <c r="K102" s="238"/>
      <c r="L102" s="239"/>
      <c r="M102" s="238"/>
      <c r="N102" s="239"/>
      <c r="O102" s="238"/>
      <c r="P102" s="239"/>
      <c r="Q102" s="238"/>
      <c r="R102" s="239"/>
      <c r="S102" s="238"/>
      <c r="T102" s="236">
        <f t="shared" si="27"/>
        <v>0</v>
      </c>
      <c r="U102" s="238"/>
      <c r="V102" s="239"/>
      <c r="W102" s="238"/>
      <c r="X102" s="236">
        <f t="shared" si="28"/>
        <v>0</v>
      </c>
      <c r="Y102" s="238"/>
      <c r="Z102" s="239"/>
      <c r="AA102" s="237">
        <f t="shared" si="29"/>
        <v>0</v>
      </c>
      <c r="AB102" s="236">
        <f t="shared" si="29"/>
        <v>0</v>
      </c>
      <c r="AC102" s="238"/>
      <c r="AD102" s="236">
        <f t="shared" si="30"/>
        <v>0</v>
      </c>
      <c r="AE102" s="237">
        <f t="shared" si="31"/>
        <v>0</v>
      </c>
      <c r="AF102" s="236">
        <f t="shared" si="31"/>
        <v>0</v>
      </c>
      <c r="AG102" s="238"/>
      <c r="AH102" s="236">
        <f t="shared" si="32"/>
        <v>0</v>
      </c>
      <c r="AI102" s="237">
        <f t="shared" si="33"/>
        <v>0</v>
      </c>
      <c r="AJ102" s="236">
        <f t="shared" si="33"/>
        <v>0</v>
      </c>
      <c r="AK102" s="238"/>
      <c r="AL102" s="236">
        <f t="shared" si="34"/>
        <v>0</v>
      </c>
      <c r="AM102" s="237">
        <f t="shared" si="35"/>
        <v>0</v>
      </c>
      <c r="AN102" s="236">
        <f t="shared" si="35"/>
        <v>0</v>
      </c>
      <c r="AO102" s="240"/>
      <c r="AP102" s="236">
        <f t="shared" si="36"/>
        <v>0</v>
      </c>
    </row>
    <row r="103" spans="1:42" s="134" customFormat="1">
      <c r="A103" s="179"/>
      <c r="B103" s="190" t="s">
        <v>329</v>
      </c>
      <c r="C103" s="181"/>
      <c r="D103" s="182"/>
      <c r="E103" s="183"/>
      <c r="F103" s="184"/>
      <c r="G103" s="242"/>
      <c r="H103" s="239"/>
      <c r="I103" s="238"/>
      <c r="J103" s="239"/>
      <c r="K103" s="238"/>
      <c r="L103" s="239"/>
      <c r="M103" s="238"/>
      <c r="N103" s="239"/>
      <c r="O103" s="238"/>
      <c r="P103" s="239"/>
      <c r="Q103" s="238"/>
      <c r="R103" s="239"/>
      <c r="S103" s="238"/>
      <c r="T103" s="236">
        <f t="shared" si="27"/>
        <v>0</v>
      </c>
      <c r="U103" s="238"/>
      <c r="V103" s="239"/>
      <c r="W103" s="238"/>
      <c r="X103" s="236">
        <f t="shared" si="28"/>
        <v>0</v>
      </c>
      <c r="Y103" s="238"/>
      <c r="Z103" s="239"/>
      <c r="AA103" s="237">
        <f t="shared" si="29"/>
        <v>0</v>
      </c>
      <c r="AB103" s="236">
        <f t="shared" si="29"/>
        <v>0</v>
      </c>
      <c r="AC103" s="238"/>
      <c r="AD103" s="236">
        <f t="shared" si="30"/>
        <v>0</v>
      </c>
      <c r="AE103" s="237">
        <f t="shared" si="31"/>
        <v>0</v>
      </c>
      <c r="AF103" s="236">
        <f t="shared" si="31"/>
        <v>0</v>
      </c>
      <c r="AG103" s="238"/>
      <c r="AH103" s="236">
        <f t="shared" si="32"/>
        <v>0</v>
      </c>
      <c r="AI103" s="237">
        <f t="shared" si="33"/>
        <v>0</v>
      </c>
      <c r="AJ103" s="236">
        <f t="shared" si="33"/>
        <v>0</v>
      </c>
      <c r="AK103" s="238"/>
      <c r="AL103" s="236">
        <f t="shared" si="34"/>
        <v>0</v>
      </c>
      <c r="AM103" s="237">
        <f t="shared" si="35"/>
        <v>0</v>
      </c>
      <c r="AN103" s="236">
        <f t="shared" si="35"/>
        <v>0</v>
      </c>
      <c r="AO103" s="240"/>
      <c r="AP103" s="236">
        <f t="shared" si="36"/>
        <v>0</v>
      </c>
    </row>
    <row r="104" spans="1:42" s="134" customFormat="1">
      <c r="A104" s="185"/>
      <c r="B104" s="146"/>
      <c r="C104" s="186"/>
      <c r="D104" s="182"/>
      <c r="E104" s="187"/>
      <c r="F104" s="170"/>
      <c r="G104" s="242"/>
      <c r="H104" s="239"/>
      <c r="I104" s="238"/>
      <c r="J104" s="239"/>
      <c r="K104" s="238"/>
      <c r="L104" s="239"/>
      <c r="M104" s="238"/>
      <c r="N104" s="239"/>
      <c r="O104" s="238"/>
      <c r="P104" s="239"/>
      <c r="Q104" s="238"/>
      <c r="R104" s="239"/>
      <c r="S104" s="238"/>
      <c r="T104" s="236">
        <f t="shared" si="27"/>
        <v>0</v>
      </c>
      <c r="U104" s="238"/>
      <c r="V104" s="239"/>
      <c r="W104" s="238"/>
      <c r="X104" s="236">
        <f t="shared" si="28"/>
        <v>0</v>
      </c>
      <c r="Y104" s="238"/>
      <c r="Z104" s="239"/>
      <c r="AA104" s="237">
        <f t="shared" si="29"/>
        <v>0</v>
      </c>
      <c r="AB104" s="236">
        <f t="shared" si="29"/>
        <v>0</v>
      </c>
      <c r="AC104" s="238"/>
      <c r="AD104" s="236">
        <f t="shared" si="30"/>
        <v>0</v>
      </c>
      <c r="AE104" s="237">
        <f t="shared" si="31"/>
        <v>0</v>
      </c>
      <c r="AF104" s="236">
        <f t="shared" si="31"/>
        <v>0</v>
      </c>
      <c r="AG104" s="238"/>
      <c r="AH104" s="236">
        <f t="shared" si="32"/>
        <v>0</v>
      </c>
      <c r="AI104" s="237">
        <f t="shared" si="33"/>
        <v>0</v>
      </c>
      <c r="AJ104" s="236">
        <f t="shared" si="33"/>
        <v>0</v>
      </c>
      <c r="AK104" s="238"/>
      <c r="AL104" s="236">
        <f t="shared" si="34"/>
        <v>0</v>
      </c>
      <c r="AM104" s="237">
        <f t="shared" si="35"/>
        <v>0</v>
      </c>
      <c r="AN104" s="236">
        <f t="shared" si="35"/>
        <v>0</v>
      </c>
      <c r="AO104" s="240"/>
      <c r="AP104" s="236">
        <f t="shared" si="36"/>
        <v>0</v>
      </c>
    </row>
    <row r="105" spans="1:42" s="134" customFormat="1" ht="27">
      <c r="A105" s="185" t="s">
        <v>330</v>
      </c>
      <c r="B105" s="146" t="s">
        <v>331</v>
      </c>
      <c r="C105" s="186" t="s">
        <v>10</v>
      </c>
      <c r="D105" s="182">
        <f>'[34]TAKE OFF sHEET'!F27</f>
        <v>3</v>
      </c>
      <c r="E105" s="170">
        <v>11565</v>
      </c>
      <c r="F105" s="170">
        <f>D105*E105</f>
        <v>34695</v>
      </c>
      <c r="G105" s="242"/>
      <c r="H105" s="239"/>
      <c r="I105" s="238"/>
      <c r="J105" s="239"/>
      <c r="K105" s="238"/>
      <c r="L105" s="239"/>
      <c r="M105" s="238"/>
      <c r="N105" s="239"/>
      <c r="O105" s="238"/>
      <c r="P105" s="239"/>
      <c r="Q105" s="238"/>
      <c r="R105" s="239"/>
      <c r="S105" s="238"/>
      <c r="T105" s="236">
        <f t="shared" si="27"/>
        <v>0</v>
      </c>
      <c r="U105" s="238"/>
      <c r="V105" s="239"/>
      <c r="W105" s="238"/>
      <c r="X105" s="236">
        <f t="shared" si="28"/>
        <v>0</v>
      </c>
      <c r="Y105" s="238"/>
      <c r="Z105" s="239"/>
      <c r="AA105" s="237">
        <f t="shared" si="29"/>
        <v>0</v>
      </c>
      <c r="AB105" s="236">
        <f t="shared" si="29"/>
        <v>0</v>
      </c>
      <c r="AC105" s="238"/>
      <c r="AD105" s="236">
        <f t="shared" si="30"/>
        <v>0</v>
      </c>
      <c r="AE105" s="237">
        <f t="shared" si="31"/>
        <v>0</v>
      </c>
      <c r="AF105" s="236">
        <f t="shared" si="31"/>
        <v>0</v>
      </c>
      <c r="AG105" s="238"/>
      <c r="AH105" s="236">
        <f t="shared" si="32"/>
        <v>0</v>
      </c>
      <c r="AI105" s="237">
        <f t="shared" si="33"/>
        <v>0</v>
      </c>
      <c r="AJ105" s="236">
        <f t="shared" si="33"/>
        <v>0</v>
      </c>
      <c r="AK105" s="238"/>
      <c r="AL105" s="236">
        <f t="shared" si="34"/>
        <v>0</v>
      </c>
      <c r="AM105" s="237">
        <f t="shared" si="35"/>
        <v>0</v>
      </c>
      <c r="AN105" s="236">
        <f t="shared" si="35"/>
        <v>0</v>
      </c>
      <c r="AO105" s="240"/>
      <c r="AP105" s="236">
        <f t="shared" si="36"/>
        <v>0</v>
      </c>
    </row>
    <row r="106" spans="1:42" s="134" customFormat="1">
      <c r="A106" s="185"/>
      <c r="B106" s="188"/>
      <c r="C106" s="181"/>
      <c r="D106" s="182">
        <f>'[34]TAKE OFF sHEET'!F28</f>
        <v>0</v>
      </c>
      <c r="E106" s="184"/>
      <c r="F106" s="184"/>
      <c r="G106" s="242"/>
      <c r="H106" s="239"/>
      <c r="I106" s="238"/>
      <c r="J106" s="239"/>
      <c r="K106" s="238"/>
      <c r="L106" s="239"/>
      <c r="M106" s="238"/>
      <c r="N106" s="239"/>
      <c r="O106" s="238"/>
      <c r="P106" s="239"/>
      <c r="Q106" s="238"/>
      <c r="R106" s="239"/>
      <c r="S106" s="238"/>
      <c r="T106" s="236">
        <f t="shared" si="27"/>
        <v>0</v>
      </c>
      <c r="U106" s="238"/>
      <c r="V106" s="239"/>
      <c r="W106" s="238"/>
      <c r="X106" s="236">
        <f t="shared" si="28"/>
        <v>0</v>
      </c>
      <c r="Y106" s="238"/>
      <c r="Z106" s="239"/>
      <c r="AA106" s="237">
        <f t="shared" si="29"/>
        <v>0</v>
      </c>
      <c r="AB106" s="236">
        <f t="shared" si="29"/>
        <v>0</v>
      </c>
      <c r="AC106" s="238"/>
      <c r="AD106" s="236">
        <f t="shared" si="30"/>
        <v>0</v>
      </c>
      <c r="AE106" s="237">
        <f t="shared" si="31"/>
        <v>0</v>
      </c>
      <c r="AF106" s="236">
        <f t="shared" si="31"/>
        <v>0</v>
      </c>
      <c r="AG106" s="238"/>
      <c r="AH106" s="236">
        <f t="shared" si="32"/>
        <v>0</v>
      </c>
      <c r="AI106" s="237">
        <f t="shared" si="33"/>
        <v>0</v>
      </c>
      <c r="AJ106" s="236">
        <f t="shared" si="33"/>
        <v>0</v>
      </c>
      <c r="AK106" s="238"/>
      <c r="AL106" s="236">
        <f t="shared" si="34"/>
        <v>0</v>
      </c>
      <c r="AM106" s="237">
        <f t="shared" si="35"/>
        <v>0</v>
      </c>
      <c r="AN106" s="236">
        <f t="shared" si="35"/>
        <v>0</v>
      </c>
      <c r="AO106" s="240"/>
      <c r="AP106" s="236">
        <f t="shared" si="36"/>
        <v>0</v>
      </c>
    </row>
    <row r="107" spans="1:42" s="134" customFormat="1" ht="27" hidden="1">
      <c r="A107" s="185" t="s">
        <v>332</v>
      </c>
      <c r="B107" s="146" t="s">
        <v>333</v>
      </c>
      <c r="C107" s="186" t="s">
        <v>10</v>
      </c>
      <c r="D107" s="182">
        <f>'[34]TAKE OFF sHEET'!F29</f>
        <v>3</v>
      </c>
      <c r="E107" s="170">
        <v>13875</v>
      </c>
      <c r="F107" s="170">
        <f>D107*E107</f>
        <v>41625</v>
      </c>
      <c r="G107" s="242"/>
      <c r="H107" s="239"/>
      <c r="I107" s="238"/>
      <c r="J107" s="239"/>
      <c r="K107" s="238"/>
      <c r="L107" s="239"/>
      <c r="M107" s="238"/>
      <c r="N107" s="239"/>
      <c r="O107" s="238"/>
      <c r="P107" s="239"/>
      <c r="Q107" s="238"/>
      <c r="R107" s="239"/>
      <c r="S107" s="238"/>
      <c r="T107" s="236">
        <f t="shared" si="27"/>
        <v>0</v>
      </c>
      <c r="U107" s="238"/>
      <c r="V107" s="239"/>
      <c r="W107" s="238"/>
      <c r="X107" s="236">
        <f t="shared" si="28"/>
        <v>0</v>
      </c>
      <c r="Y107" s="238"/>
      <c r="Z107" s="239"/>
      <c r="AA107" s="237">
        <f t="shared" si="29"/>
        <v>0</v>
      </c>
      <c r="AB107" s="236">
        <f t="shared" si="29"/>
        <v>0</v>
      </c>
      <c r="AC107" s="238"/>
      <c r="AD107" s="236">
        <f t="shared" si="30"/>
        <v>0</v>
      </c>
      <c r="AE107" s="237">
        <f t="shared" si="31"/>
        <v>0</v>
      </c>
      <c r="AF107" s="236">
        <f t="shared" si="31"/>
        <v>0</v>
      </c>
      <c r="AG107" s="238"/>
      <c r="AH107" s="236">
        <f t="shared" si="32"/>
        <v>0</v>
      </c>
      <c r="AI107" s="237">
        <f t="shared" si="33"/>
        <v>0</v>
      </c>
      <c r="AJ107" s="236">
        <f t="shared" si="33"/>
        <v>0</v>
      </c>
      <c r="AK107" s="238"/>
      <c r="AL107" s="236">
        <f t="shared" si="34"/>
        <v>0</v>
      </c>
      <c r="AM107" s="237">
        <f t="shared" si="35"/>
        <v>0</v>
      </c>
      <c r="AN107" s="236">
        <f t="shared" si="35"/>
        <v>0</v>
      </c>
      <c r="AO107" s="240"/>
      <c r="AP107" s="236">
        <f t="shared" si="36"/>
        <v>0</v>
      </c>
    </row>
    <row r="108" spans="1:42" s="134" customFormat="1" hidden="1">
      <c r="A108" s="185"/>
      <c r="B108" s="188"/>
      <c r="C108" s="181"/>
      <c r="D108" s="182">
        <f>'[34]TAKE OFF sHEET'!F30</f>
        <v>0</v>
      </c>
      <c r="E108" s="187"/>
      <c r="F108" s="184"/>
      <c r="G108" s="242"/>
      <c r="H108" s="239"/>
      <c r="I108" s="238"/>
      <c r="J108" s="239"/>
      <c r="K108" s="238"/>
      <c r="L108" s="239"/>
      <c r="M108" s="238"/>
      <c r="N108" s="239"/>
      <c r="O108" s="238"/>
      <c r="P108" s="239"/>
      <c r="Q108" s="238"/>
      <c r="R108" s="239"/>
      <c r="S108" s="238"/>
      <c r="T108" s="236">
        <f t="shared" si="27"/>
        <v>0</v>
      </c>
      <c r="U108" s="238"/>
      <c r="V108" s="239"/>
      <c r="W108" s="238"/>
      <c r="X108" s="236">
        <f t="shared" si="28"/>
        <v>0</v>
      </c>
      <c r="Y108" s="238"/>
      <c r="Z108" s="239"/>
      <c r="AA108" s="237">
        <f t="shared" si="29"/>
        <v>0</v>
      </c>
      <c r="AB108" s="236">
        <f t="shared" si="29"/>
        <v>0</v>
      </c>
      <c r="AC108" s="238"/>
      <c r="AD108" s="236">
        <f t="shared" si="30"/>
        <v>0</v>
      </c>
      <c r="AE108" s="237">
        <f t="shared" si="31"/>
        <v>0</v>
      </c>
      <c r="AF108" s="236">
        <f t="shared" si="31"/>
        <v>0</v>
      </c>
      <c r="AG108" s="238"/>
      <c r="AH108" s="236">
        <f t="shared" si="32"/>
        <v>0</v>
      </c>
      <c r="AI108" s="237">
        <f t="shared" si="33"/>
        <v>0</v>
      </c>
      <c r="AJ108" s="236">
        <f t="shared" si="33"/>
        <v>0</v>
      </c>
      <c r="AK108" s="238"/>
      <c r="AL108" s="236">
        <f t="shared" si="34"/>
        <v>0</v>
      </c>
      <c r="AM108" s="237">
        <f t="shared" si="35"/>
        <v>0</v>
      </c>
      <c r="AN108" s="236">
        <f t="shared" si="35"/>
        <v>0</v>
      </c>
      <c r="AO108" s="240"/>
      <c r="AP108" s="236">
        <f t="shared" si="36"/>
        <v>0</v>
      </c>
    </row>
    <row r="109" spans="1:42" s="134" customFormat="1">
      <c r="A109" s="179"/>
      <c r="B109" s="190" t="s">
        <v>334</v>
      </c>
      <c r="C109" s="181"/>
      <c r="D109" s="182">
        <f>'[34]TAKE OFF sHEET'!F31</f>
        <v>0</v>
      </c>
      <c r="E109" s="183"/>
      <c r="F109" s="184"/>
      <c r="G109" s="242"/>
      <c r="H109" s="239"/>
      <c r="I109" s="238"/>
      <c r="J109" s="239"/>
      <c r="K109" s="238"/>
      <c r="L109" s="239"/>
      <c r="M109" s="238"/>
      <c r="N109" s="239"/>
      <c r="O109" s="238"/>
      <c r="P109" s="239"/>
      <c r="Q109" s="238"/>
      <c r="R109" s="239"/>
      <c r="S109" s="238"/>
      <c r="T109" s="236">
        <f t="shared" si="27"/>
        <v>0</v>
      </c>
      <c r="U109" s="238"/>
      <c r="V109" s="239"/>
      <c r="W109" s="238"/>
      <c r="X109" s="236">
        <f t="shared" si="28"/>
        <v>0</v>
      </c>
      <c r="Y109" s="238"/>
      <c r="Z109" s="239"/>
      <c r="AA109" s="237">
        <f t="shared" si="29"/>
        <v>0</v>
      </c>
      <c r="AB109" s="236">
        <f t="shared" si="29"/>
        <v>0</v>
      </c>
      <c r="AC109" s="238"/>
      <c r="AD109" s="236">
        <f t="shared" si="30"/>
        <v>0</v>
      </c>
      <c r="AE109" s="237">
        <f t="shared" si="31"/>
        <v>0</v>
      </c>
      <c r="AF109" s="236">
        <f t="shared" si="31"/>
        <v>0</v>
      </c>
      <c r="AG109" s="238"/>
      <c r="AH109" s="236">
        <f t="shared" si="32"/>
        <v>0</v>
      </c>
      <c r="AI109" s="237">
        <f t="shared" si="33"/>
        <v>0</v>
      </c>
      <c r="AJ109" s="236">
        <f t="shared" si="33"/>
        <v>0</v>
      </c>
      <c r="AK109" s="238"/>
      <c r="AL109" s="236">
        <f t="shared" si="34"/>
        <v>0</v>
      </c>
      <c r="AM109" s="237">
        <f t="shared" si="35"/>
        <v>0</v>
      </c>
      <c r="AN109" s="236">
        <f t="shared" si="35"/>
        <v>0</v>
      </c>
      <c r="AO109" s="240"/>
      <c r="AP109" s="236">
        <f t="shared" si="36"/>
        <v>0</v>
      </c>
    </row>
    <row r="110" spans="1:42" s="134" customFormat="1">
      <c r="A110" s="185"/>
      <c r="B110" s="191"/>
      <c r="C110" s="181"/>
      <c r="D110" s="182">
        <f>'[34]TAKE OFF sHEET'!F32</f>
        <v>0</v>
      </c>
      <c r="E110" s="187"/>
      <c r="F110" s="184"/>
      <c r="G110" s="242"/>
      <c r="H110" s="239"/>
      <c r="I110" s="238"/>
      <c r="J110" s="239"/>
      <c r="K110" s="238"/>
      <c r="L110" s="239"/>
      <c r="M110" s="238"/>
      <c r="N110" s="239"/>
      <c r="O110" s="238"/>
      <c r="P110" s="239"/>
      <c r="Q110" s="238"/>
      <c r="R110" s="239"/>
      <c r="S110" s="238"/>
      <c r="T110" s="236">
        <f t="shared" si="27"/>
        <v>0</v>
      </c>
      <c r="U110" s="238"/>
      <c r="V110" s="239"/>
      <c r="W110" s="238"/>
      <c r="X110" s="236">
        <f t="shared" si="28"/>
        <v>0</v>
      </c>
      <c r="Y110" s="238"/>
      <c r="Z110" s="239"/>
      <c r="AA110" s="237">
        <f t="shared" si="29"/>
        <v>0</v>
      </c>
      <c r="AB110" s="236">
        <f t="shared" si="29"/>
        <v>0</v>
      </c>
      <c r="AC110" s="238"/>
      <c r="AD110" s="236">
        <f t="shared" si="30"/>
        <v>0</v>
      </c>
      <c r="AE110" s="237">
        <f t="shared" si="31"/>
        <v>0</v>
      </c>
      <c r="AF110" s="236">
        <f t="shared" si="31"/>
        <v>0</v>
      </c>
      <c r="AG110" s="238"/>
      <c r="AH110" s="236">
        <f t="shared" si="32"/>
        <v>0</v>
      </c>
      <c r="AI110" s="237">
        <f t="shared" si="33"/>
        <v>0</v>
      </c>
      <c r="AJ110" s="236">
        <f t="shared" si="33"/>
        <v>0</v>
      </c>
      <c r="AK110" s="238"/>
      <c r="AL110" s="236">
        <f t="shared" si="34"/>
        <v>0</v>
      </c>
      <c r="AM110" s="237">
        <f t="shared" si="35"/>
        <v>0</v>
      </c>
      <c r="AN110" s="236">
        <f t="shared" si="35"/>
        <v>0</v>
      </c>
      <c r="AO110" s="240"/>
      <c r="AP110" s="236">
        <f t="shared" si="36"/>
        <v>0</v>
      </c>
    </row>
    <row r="111" spans="1:42" s="134" customFormat="1" ht="25">
      <c r="A111" s="185" t="s">
        <v>335</v>
      </c>
      <c r="B111" s="191" t="s">
        <v>336</v>
      </c>
      <c r="C111" s="181" t="s">
        <v>10</v>
      </c>
      <c r="D111" s="182">
        <f>'[34]TAKE OFF sHEET'!F33</f>
        <v>3</v>
      </c>
      <c r="E111" s="187">
        <v>67400</v>
      </c>
      <c r="F111" s="170">
        <f>D111*E111</f>
        <v>202200</v>
      </c>
      <c r="G111" s="242"/>
      <c r="H111" s="239"/>
      <c r="I111" s="238">
        <v>8</v>
      </c>
      <c r="J111" s="239">
        <f>E111*I111</f>
        <v>539200</v>
      </c>
      <c r="K111" s="238">
        <f>I111+G111</f>
        <v>8</v>
      </c>
      <c r="L111" s="239">
        <f>J111+H111</f>
        <v>539200</v>
      </c>
      <c r="M111" s="238">
        <v>15</v>
      </c>
      <c r="N111" s="239">
        <f>M111*E111</f>
        <v>1011000</v>
      </c>
      <c r="O111" s="238">
        <f>M111+K111</f>
        <v>23</v>
      </c>
      <c r="P111" s="239">
        <f>O111*E111</f>
        <v>1550200</v>
      </c>
      <c r="Q111" s="238">
        <v>12</v>
      </c>
      <c r="R111" s="239">
        <f>Q111*E111</f>
        <v>808800</v>
      </c>
      <c r="S111" s="238">
        <f>Q111+O111</f>
        <v>35</v>
      </c>
      <c r="T111" s="236">
        <f t="shared" si="27"/>
        <v>2359000</v>
      </c>
      <c r="U111" s="238"/>
      <c r="V111" s="239">
        <f>U111*I111</f>
        <v>0</v>
      </c>
      <c r="W111" s="238">
        <f>U111+S111</f>
        <v>35</v>
      </c>
      <c r="X111" s="236">
        <f t="shared" si="28"/>
        <v>2359000</v>
      </c>
      <c r="Y111" s="238"/>
      <c r="Z111" s="239">
        <f>Y111*M111</f>
        <v>0</v>
      </c>
      <c r="AA111" s="237">
        <f t="shared" si="29"/>
        <v>35</v>
      </c>
      <c r="AB111" s="236">
        <f t="shared" si="29"/>
        <v>2359000</v>
      </c>
      <c r="AC111" s="238"/>
      <c r="AD111" s="236">
        <f t="shared" si="30"/>
        <v>0</v>
      </c>
      <c r="AE111" s="237">
        <f t="shared" si="31"/>
        <v>35</v>
      </c>
      <c r="AF111" s="236">
        <f t="shared" si="31"/>
        <v>2359000</v>
      </c>
      <c r="AG111" s="238"/>
      <c r="AH111" s="236">
        <f t="shared" si="32"/>
        <v>0</v>
      </c>
      <c r="AI111" s="237">
        <f t="shared" si="33"/>
        <v>35</v>
      </c>
      <c r="AJ111" s="236">
        <f t="shared" si="33"/>
        <v>2359000</v>
      </c>
      <c r="AK111" s="238"/>
      <c r="AL111" s="236">
        <f t="shared" si="34"/>
        <v>0</v>
      </c>
      <c r="AM111" s="237">
        <f t="shared" si="35"/>
        <v>35</v>
      </c>
      <c r="AN111" s="236">
        <f t="shared" si="35"/>
        <v>2359000</v>
      </c>
      <c r="AO111" s="240"/>
      <c r="AP111" s="236">
        <f t="shared" si="36"/>
        <v>0</v>
      </c>
    </row>
    <row r="112" spans="1:42" s="134" customFormat="1">
      <c r="A112" s="185"/>
      <c r="B112" s="191"/>
      <c r="C112" s="181"/>
      <c r="D112" s="182">
        <f>'[34]TAKE OFF sHEET'!F34</f>
        <v>0</v>
      </c>
      <c r="E112" s="187"/>
      <c r="F112" s="184"/>
      <c r="G112" s="242"/>
      <c r="H112" s="239"/>
      <c r="I112" s="238"/>
      <c r="J112" s="239"/>
      <c r="K112" s="238"/>
      <c r="L112" s="239"/>
      <c r="M112" s="238"/>
      <c r="N112" s="239"/>
      <c r="O112" s="238"/>
      <c r="P112" s="239"/>
      <c r="Q112" s="238"/>
      <c r="R112" s="239"/>
      <c r="S112" s="238"/>
      <c r="T112" s="236">
        <f t="shared" si="27"/>
        <v>0</v>
      </c>
      <c r="U112" s="238"/>
      <c r="V112" s="239"/>
      <c r="W112" s="238"/>
      <c r="X112" s="236">
        <f t="shared" si="28"/>
        <v>0</v>
      </c>
      <c r="Y112" s="238"/>
      <c r="Z112" s="239"/>
      <c r="AA112" s="237">
        <f t="shared" si="29"/>
        <v>0</v>
      </c>
      <c r="AB112" s="236">
        <f t="shared" si="29"/>
        <v>0</v>
      </c>
      <c r="AC112" s="238"/>
      <c r="AD112" s="236">
        <f t="shared" si="30"/>
        <v>0</v>
      </c>
      <c r="AE112" s="237">
        <f t="shared" si="31"/>
        <v>0</v>
      </c>
      <c r="AF112" s="236">
        <f t="shared" si="31"/>
        <v>0</v>
      </c>
      <c r="AG112" s="238"/>
      <c r="AH112" s="236">
        <f t="shared" si="32"/>
        <v>0</v>
      </c>
      <c r="AI112" s="237">
        <f t="shared" si="33"/>
        <v>0</v>
      </c>
      <c r="AJ112" s="236">
        <f t="shared" si="33"/>
        <v>0</v>
      </c>
      <c r="AK112" s="238"/>
      <c r="AL112" s="236">
        <f t="shared" si="34"/>
        <v>0</v>
      </c>
      <c r="AM112" s="237">
        <f t="shared" si="35"/>
        <v>0</v>
      </c>
      <c r="AN112" s="236">
        <f t="shared" si="35"/>
        <v>0</v>
      </c>
      <c r="AO112" s="240"/>
      <c r="AP112" s="236">
        <f t="shared" si="36"/>
        <v>0</v>
      </c>
    </row>
    <row r="113" spans="1:42" s="134" customFormat="1" ht="25">
      <c r="A113" s="185" t="s">
        <v>337</v>
      </c>
      <c r="B113" s="192" t="s">
        <v>338</v>
      </c>
      <c r="C113" s="186" t="s">
        <v>10</v>
      </c>
      <c r="D113" s="182">
        <f>'[34]TAKE OFF sHEET'!F35</f>
        <v>3</v>
      </c>
      <c r="E113" s="187">
        <v>67400</v>
      </c>
      <c r="F113" s="170">
        <f>D113*E113</f>
        <v>202200</v>
      </c>
      <c r="G113" s="242"/>
      <c r="H113" s="239"/>
      <c r="I113" s="238">
        <v>6</v>
      </c>
      <c r="J113" s="239">
        <f>E113*I113</f>
        <v>404400</v>
      </c>
      <c r="K113" s="238">
        <f>I113+G113</f>
        <v>6</v>
      </c>
      <c r="L113" s="239">
        <f>J113+H113</f>
        <v>404400</v>
      </c>
      <c r="M113" s="238">
        <v>12</v>
      </c>
      <c r="N113" s="239">
        <f>M113*E113</f>
        <v>808800</v>
      </c>
      <c r="O113" s="238">
        <f>M113+K113</f>
        <v>18</v>
      </c>
      <c r="P113" s="239">
        <f>O113*E113</f>
        <v>1213200</v>
      </c>
      <c r="Q113" s="238">
        <v>8</v>
      </c>
      <c r="R113" s="239">
        <f>Q113*E113</f>
        <v>539200</v>
      </c>
      <c r="S113" s="238">
        <f>Q113+O113</f>
        <v>26</v>
      </c>
      <c r="T113" s="236">
        <f t="shared" si="27"/>
        <v>1752400</v>
      </c>
      <c r="U113" s="238"/>
      <c r="V113" s="239">
        <f>U113*I113</f>
        <v>0</v>
      </c>
      <c r="W113" s="238">
        <f>U113+S113</f>
        <v>26</v>
      </c>
      <c r="X113" s="236">
        <f t="shared" si="28"/>
        <v>1752400</v>
      </c>
      <c r="Y113" s="238"/>
      <c r="Z113" s="239">
        <f>Y113*M113</f>
        <v>0</v>
      </c>
      <c r="AA113" s="237">
        <f t="shared" si="29"/>
        <v>26</v>
      </c>
      <c r="AB113" s="236">
        <f t="shared" si="29"/>
        <v>1752400</v>
      </c>
      <c r="AC113" s="238"/>
      <c r="AD113" s="236">
        <f t="shared" si="30"/>
        <v>0</v>
      </c>
      <c r="AE113" s="237">
        <f t="shared" si="31"/>
        <v>26</v>
      </c>
      <c r="AF113" s="236">
        <f t="shared" si="31"/>
        <v>1752400</v>
      </c>
      <c r="AG113" s="238"/>
      <c r="AH113" s="236">
        <f t="shared" si="32"/>
        <v>0</v>
      </c>
      <c r="AI113" s="237">
        <f t="shared" si="33"/>
        <v>26</v>
      </c>
      <c r="AJ113" s="236">
        <f t="shared" si="33"/>
        <v>1752400</v>
      </c>
      <c r="AK113" s="238"/>
      <c r="AL113" s="236">
        <f t="shared" si="34"/>
        <v>0</v>
      </c>
      <c r="AM113" s="237">
        <f t="shared" si="35"/>
        <v>26</v>
      </c>
      <c r="AN113" s="236">
        <f t="shared" si="35"/>
        <v>1752400</v>
      </c>
      <c r="AO113" s="240"/>
      <c r="AP113" s="236">
        <f t="shared" si="36"/>
        <v>0</v>
      </c>
    </row>
    <row r="114" spans="1:42" s="134" customFormat="1">
      <c r="A114" s="185"/>
      <c r="B114" s="192"/>
      <c r="C114" s="186"/>
      <c r="D114" s="182">
        <f>'[34]TAKE OFF sHEET'!F36</f>
        <v>0</v>
      </c>
      <c r="E114" s="187"/>
      <c r="F114" s="170"/>
      <c r="G114" s="242"/>
      <c r="H114" s="239"/>
      <c r="I114" s="238"/>
      <c r="J114" s="239"/>
      <c r="K114" s="238"/>
      <c r="L114" s="239"/>
      <c r="M114" s="238"/>
      <c r="N114" s="239"/>
      <c r="O114" s="238"/>
      <c r="P114" s="239"/>
      <c r="Q114" s="238"/>
      <c r="R114" s="239"/>
      <c r="S114" s="238"/>
      <c r="T114" s="236"/>
      <c r="U114" s="238"/>
      <c r="V114" s="239"/>
      <c r="W114" s="238"/>
      <c r="X114" s="236"/>
      <c r="Y114" s="238"/>
      <c r="Z114" s="239"/>
      <c r="AA114" s="237"/>
      <c r="AB114" s="236"/>
      <c r="AC114" s="238"/>
      <c r="AD114" s="236"/>
      <c r="AE114" s="237"/>
      <c r="AF114" s="236"/>
      <c r="AG114" s="238"/>
      <c r="AH114" s="236"/>
      <c r="AI114" s="237"/>
      <c r="AJ114" s="236"/>
      <c r="AK114" s="238"/>
      <c r="AL114" s="236"/>
      <c r="AM114" s="237"/>
      <c r="AN114" s="236"/>
      <c r="AO114" s="240"/>
      <c r="AP114" s="236"/>
    </row>
    <row r="115" spans="1:42" s="134" customFormat="1">
      <c r="A115" s="179"/>
      <c r="B115" s="190" t="s">
        <v>339</v>
      </c>
      <c r="C115" s="181"/>
      <c r="D115" s="182">
        <f>'[34]TAKE OFF sHEET'!F37</f>
        <v>0</v>
      </c>
      <c r="E115" s="183"/>
      <c r="F115" s="193"/>
      <c r="G115" s="242"/>
      <c r="H115" s="239"/>
      <c r="I115" s="238"/>
      <c r="J115" s="239"/>
      <c r="K115" s="238"/>
      <c r="L115" s="239"/>
      <c r="M115" s="238"/>
      <c r="N115" s="239"/>
      <c r="O115" s="238"/>
      <c r="P115" s="239"/>
      <c r="Q115" s="238"/>
      <c r="R115" s="239"/>
      <c r="S115" s="238"/>
      <c r="T115" s="236">
        <f t="shared" si="27"/>
        <v>0</v>
      </c>
      <c r="U115" s="238"/>
      <c r="V115" s="239"/>
      <c r="W115" s="238"/>
      <c r="X115" s="236">
        <f t="shared" si="28"/>
        <v>0</v>
      </c>
      <c r="Y115" s="238"/>
      <c r="Z115" s="239"/>
      <c r="AA115" s="237">
        <f t="shared" si="29"/>
        <v>0</v>
      </c>
      <c r="AB115" s="236">
        <f t="shared" si="29"/>
        <v>0</v>
      </c>
      <c r="AC115" s="238"/>
      <c r="AD115" s="236">
        <f t="shared" si="30"/>
        <v>0</v>
      </c>
      <c r="AE115" s="237">
        <f t="shared" si="31"/>
        <v>0</v>
      </c>
      <c r="AF115" s="236">
        <f t="shared" si="31"/>
        <v>0</v>
      </c>
      <c r="AG115" s="238"/>
      <c r="AH115" s="236">
        <f t="shared" si="32"/>
        <v>0</v>
      </c>
      <c r="AI115" s="237">
        <f t="shared" si="33"/>
        <v>0</v>
      </c>
      <c r="AJ115" s="236">
        <f t="shared" si="33"/>
        <v>0</v>
      </c>
      <c r="AK115" s="238"/>
      <c r="AL115" s="236">
        <f t="shared" si="34"/>
        <v>0</v>
      </c>
      <c r="AM115" s="237">
        <f t="shared" ref="AM115:AN129" si="37">AK115+AI115</f>
        <v>0</v>
      </c>
      <c r="AN115" s="236">
        <f t="shared" si="37"/>
        <v>0</v>
      </c>
      <c r="AO115" s="240"/>
      <c r="AP115" s="236">
        <f t="shared" si="36"/>
        <v>0</v>
      </c>
    </row>
    <row r="116" spans="1:42" s="134" customFormat="1">
      <c r="A116" s="185"/>
      <c r="B116" s="188"/>
      <c r="C116" s="181"/>
      <c r="D116" s="182">
        <f>'[34]TAKE OFF sHEET'!F38</f>
        <v>0</v>
      </c>
      <c r="E116" s="187"/>
      <c r="F116" s="184"/>
      <c r="G116" s="242"/>
      <c r="H116" s="239"/>
      <c r="I116" s="238"/>
      <c r="J116" s="239"/>
      <c r="K116" s="238"/>
      <c r="L116" s="239"/>
      <c r="M116" s="238"/>
      <c r="N116" s="239"/>
      <c r="O116" s="238"/>
      <c r="P116" s="239"/>
      <c r="Q116" s="238"/>
      <c r="R116" s="239"/>
      <c r="S116" s="238"/>
      <c r="T116" s="236">
        <f t="shared" si="27"/>
        <v>0</v>
      </c>
      <c r="U116" s="238"/>
      <c r="V116" s="239"/>
      <c r="W116" s="238"/>
      <c r="X116" s="236">
        <f t="shared" si="28"/>
        <v>0</v>
      </c>
      <c r="Y116" s="238"/>
      <c r="Z116" s="239"/>
      <c r="AA116" s="237">
        <f t="shared" si="29"/>
        <v>0</v>
      </c>
      <c r="AB116" s="236">
        <f t="shared" si="29"/>
        <v>0</v>
      </c>
      <c r="AC116" s="238"/>
      <c r="AD116" s="236">
        <f t="shared" si="30"/>
        <v>0</v>
      </c>
      <c r="AE116" s="237">
        <f t="shared" si="31"/>
        <v>0</v>
      </c>
      <c r="AF116" s="236">
        <f t="shared" si="31"/>
        <v>0</v>
      </c>
      <c r="AG116" s="238"/>
      <c r="AH116" s="236">
        <f t="shared" si="32"/>
        <v>0</v>
      </c>
      <c r="AI116" s="237">
        <f t="shared" si="33"/>
        <v>0</v>
      </c>
      <c r="AJ116" s="236">
        <f t="shared" si="33"/>
        <v>0</v>
      </c>
      <c r="AK116" s="238"/>
      <c r="AL116" s="236">
        <f t="shared" si="34"/>
        <v>0</v>
      </c>
      <c r="AM116" s="237">
        <f t="shared" si="37"/>
        <v>0</v>
      </c>
      <c r="AN116" s="236">
        <f t="shared" si="37"/>
        <v>0</v>
      </c>
      <c r="AO116" s="240"/>
      <c r="AP116" s="236">
        <f t="shared" si="36"/>
        <v>0</v>
      </c>
    </row>
    <row r="117" spans="1:42" s="134" customFormat="1">
      <c r="A117" s="185" t="s">
        <v>340</v>
      </c>
      <c r="B117" s="146" t="s">
        <v>341</v>
      </c>
      <c r="C117" s="186" t="s">
        <v>10</v>
      </c>
      <c r="D117" s="182">
        <f>'[34]TAKE OFF sHEET'!F39</f>
        <v>3</v>
      </c>
      <c r="E117" s="187">
        <v>5385</v>
      </c>
      <c r="F117" s="170">
        <f>D117*E117</f>
        <v>16155</v>
      </c>
      <c r="G117" s="242"/>
      <c r="H117" s="239"/>
      <c r="I117" s="238"/>
      <c r="J117" s="239"/>
      <c r="K117" s="238"/>
      <c r="L117" s="239"/>
      <c r="M117" s="238"/>
      <c r="N117" s="239"/>
      <c r="O117" s="238"/>
      <c r="P117" s="239"/>
      <c r="Q117" s="238"/>
      <c r="R117" s="239"/>
      <c r="S117" s="238"/>
      <c r="T117" s="236">
        <f t="shared" si="27"/>
        <v>0</v>
      </c>
      <c r="U117" s="238"/>
      <c r="V117" s="239"/>
      <c r="W117" s="238"/>
      <c r="X117" s="236">
        <f t="shared" si="28"/>
        <v>0</v>
      </c>
      <c r="Y117" s="238"/>
      <c r="Z117" s="239"/>
      <c r="AA117" s="237">
        <f t="shared" si="29"/>
        <v>0</v>
      </c>
      <c r="AB117" s="236">
        <f t="shared" si="29"/>
        <v>0</v>
      </c>
      <c r="AC117" s="238"/>
      <c r="AD117" s="236">
        <f t="shared" si="30"/>
        <v>0</v>
      </c>
      <c r="AE117" s="237">
        <f t="shared" si="31"/>
        <v>0</v>
      </c>
      <c r="AF117" s="236">
        <f t="shared" si="31"/>
        <v>0</v>
      </c>
      <c r="AG117" s="238"/>
      <c r="AH117" s="236">
        <f t="shared" si="32"/>
        <v>0</v>
      </c>
      <c r="AI117" s="237">
        <f t="shared" si="33"/>
        <v>0</v>
      </c>
      <c r="AJ117" s="236">
        <f t="shared" si="33"/>
        <v>0</v>
      </c>
      <c r="AK117" s="238"/>
      <c r="AL117" s="236">
        <f t="shared" si="34"/>
        <v>0</v>
      </c>
      <c r="AM117" s="237">
        <f t="shared" si="37"/>
        <v>0</v>
      </c>
      <c r="AN117" s="236">
        <f t="shared" si="37"/>
        <v>0</v>
      </c>
      <c r="AO117" s="240"/>
      <c r="AP117" s="236">
        <f t="shared" si="36"/>
        <v>0</v>
      </c>
    </row>
    <row r="118" spans="1:42" s="134" customFormat="1">
      <c r="A118" s="185"/>
      <c r="B118" s="188"/>
      <c r="C118" s="181"/>
      <c r="D118" s="182">
        <f>'[34]TAKE OFF sHEET'!F40</f>
        <v>0</v>
      </c>
      <c r="E118" s="187"/>
      <c r="F118" s="184"/>
      <c r="G118" s="242"/>
      <c r="H118" s="239"/>
      <c r="I118" s="238"/>
      <c r="J118" s="239"/>
      <c r="K118" s="238"/>
      <c r="L118" s="239"/>
      <c r="M118" s="238"/>
      <c r="N118" s="239"/>
      <c r="O118" s="238"/>
      <c r="P118" s="239"/>
      <c r="Q118" s="238"/>
      <c r="R118" s="239"/>
      <c r="S118" s="238"/>
      <c r="T118" s="236">
        <f t="shared" si="27"/>
        <v>0</v>
      </c>
      <c r="U118" s="238"/>
      <c r="V118" s="239"/>
      <c r="W118" s="238"/>
      <c r="X118" s="236">
        <f t="shared" si="28"/>
        <v>0</v>
      </c>
      <c r="Y118" s="238"/>
      <c r="Z118" s="239"/>
      <c r="AA118" s="237">
        <f t="shared" si="29"/>
        <v>0</v>
      </c>
      <c r="AB118" s="236">
        <f t="shared" si="29"/>
        <v>0</v>
      </c>
      <c r="AC118" s="238"/>
      <c r="AD118" s="236">
        <f t="shared" si="30"/>
        <v>0</v>
      </c>
      <c r="AE118" s="237">
        <f t="shared" si="31"/>
        <v>0</v>
      </c>
      <c r="AF118" s="236">
        <f t="shared" si="31"/>
        <v>0</v>
      </c>
      <c r="AG118" s="238"/>
      <c r="AH118" s="236">
        <f t="shared" si="32"/>
        <v>0</v>
      </c>
      <c r="AI118" s="237">
        <f t="shared" si="33"/>
        <v>0</v>
      </c>
      <c r="AJ118" s="236">
        <f t="shared" si="33"/>
        <v>0</v>
      </c>
      <c r="AK118" s="238"/>
      <c r="AL118" s="236">
        <f t="shared" si="34"/>
        <v>0</v>
      </c>
      <c r="AM118" s="237">
        <f t="shared" si="37"/>
        <v>0</v>
      </c>
      <c r="AN118" s="236">
        <f t="shared" si="37"/>
        <v>0</v>
      </c>
      <c r="AO118" s="240"/>
      <c r="AP118" s="236">
        <f t="shared" si="36"/>
        <v>0</v>
      </c>
    </row>
    <row r="119" spans="1:42" s="134" customFormat="1">
      <c r="A119" s="185" t="s">
        <v>342</v>
      </c>
      <c r="B119" s="146" t="s">
        <v>343</v>
      </c>
      <c r="C119" s="186" t="s">
        <v>10</v>
      </c>
      <c r="D119" s="182">
        <f>'[34]TAKE OFF sHEET'!F41</f>
        <v>12</v>
      </c>
      <c r="E119" s="187">
        <v>31765</v>
      </c>
      <c r="F119" s="170">
        <f>D119*E119</f>
        <v>381180</v>
      </c>
      <c r="G119" s="242"/>
      <c r="H119" s="239"/>
      <c r="I119" s="238"/>
      <c r="J119" s="239"/>
      <c r="K119" s="238"/>
      <c r="L119" s="239"/>
      <c r="M119" s="238"/>
      <c r="N119" s="239"/>
      <c r="O119" s="238"/>
      <c r="P119" s="239"/>
      <c r="Q119" s="238"/>
      <c r="R119" s="239"/>
      <c r="S119" s="238"/>
      <c r="T119" s="236">
        <f t="shared" si="27"/>
        <v>0</v>
      </c>
      <c r="U119" s="238"/>
      <c r="V119" s="239"/>
      <c r="W119" s="238"/>
      <c r="X119" s="236">
        <f t="shared" si="28"/>
        <v>0</v>
      </c>
      <c r="Y119" s="238"/>
      <c r="Z119" s="239"/>
      <c r="AA119" s="237">
        <f t="shared" si="29"/>
        <v>0</v>
      </c>
      <c r="AB119" s="236">
        <f t="shared" si="29"/>
        <v>0</v>
      </c>
      <c r="AC119" s="238"/>
      <c r="AD119" s="236">
        <f t="shared" si="30"/>
        <v>0</v>
      </c>
      <c r="AE119" s="237">
        <f t="shared" si="31"/>
        <v>0</v>
      </c>
      <c r="AF119" s="236">
        <f t="shared" si="31"/>
        <v>0</v>
      </c>
      <c r="AG119" s="238"/>
      <c r="AH119" s="236">
        <f t="shared" si="32"/>
        <v>0</v>
      </c>
      <c r="AI119" s="237">
        <f t="shared" si="33"/>
        <v>0</v>
      </c>
      <c r="AJ119" s="236">
        <f t="shared" si="33"/>
        <v>0</v>
      </c>
      <c r="AK119" s="238"/>
      <c r="AL119" s="236">
        <f t="shared" si="34"/>
        <v>0</v>
      </c>
      <c r="AM119" s="237">
        <f t="shared" si="37"/>
        <v>0</v>
      </c>
      <c r="AN119" s="236">
        <f t="shared" si="37"/>
        <v>0</v>
      </c>
      <c r="AO119" s="240"/>
      <c r="AP119" s="236">
        <f t="shared" si="36"/>
        <v>0</v>
      </c>
    </row>
    <row r="120" spans="1:42" s="134" customFormat="1">
      <c r="A120" s="185"/>
      <c r="B120" s="188"/>
      <c r="C120" s="181"/>
      <c r="D120" s="182">
        <f>'[34]TAKE OFF sHEET'!F42</f>
        <v>0</v>
      </c>
      <c r="E120" s="187"/>
      <c r="F120" s="184"/>
      <c r="G120" s="242"/>
      <c r="H120" s="239"/>
      <c r="I120" s="238"/>
      <c r="J120" s="239"/>
      <c r="K120" s="238"/>
      <c r="L120" s="239"/>
      <c r="M120" s="238"/>
      <c r="N120" s="239"/>
      <c r="O120" s="238"/>
      <c r="P120" s="239"/>
      <c r="Q120" s="238"/>
      <c r="R120" s="239"/>
      <c r="S120" s="238"/>
      <c r="T120" s="236">
        <f t="shared" si="27"/>
        <v>0</v>
      </c>
      <c r="U120" s="238"/>
      <c r="V120" s="239"/>
      <c r="W120" s="238"/>
      <c r="X120" s="236">
        <f t="shared" si="28"/>
        <v>0</v>
      </c>
      <c r="Y120" s="238"/>
      <c r="Z120" s="239"/>
      <c r="AA120" s="237">
        <f t="shared" si="29"/>
        <v>0</v>
      </c>
      <c r="AB120" s="236">
        <f t="shared" si="29"/>
        <v>0</v>
      </c>
      <c r="AC120" s="238"/>
      <c r="AD120" s="236">
        <f t="shared" si="30"/>
        <v>0</v>
      </c>
      <c r="AE120" s="237">
        <f t="shared" si="31"/>
        <v>0</v>
      </c>
      <c r="AF120" s="236">
        <f t="shared" si="31"/>
        <v>0</v>
      </c>
      <c r="AG120" s="238"/>
      <c r="AH120" s="236">
        <f t="shared" si="32"/>
        <v>0</v>
      </c>
      <c r="AI120" s="237">
        <f t="shared" si="33"/>
        <v>0</v>
      </c>
      <c r="AJ120" s="236">
        <f t="shared" si="33"/>
        <v>0</v>
      </c>
      <c r="AK120" s="238"/>
      <c r="AL120" s="236">
        <f t="shared" si="34"/>
        <v>0</v>
      </c>
      <c r="AM120" s="237">
        <f t="shared" si="37"/>
        <v>0</v>
      </c>
      <c r="AN120" s="236">
        <f t="shared" si="37"/>
        <v>0</v>
      </c>
      <c r="AO120" s="240"/>
      <c r="AP120" s="236">
        <f t="shared" si="36"/>
        <v>0</v>
      </c>
    </row>
    <row r="121" spans="1:42" s="134" customFormat="1">
      <c r="A121" s="179"/>
      <c r="B121" s="190" t="s">
        <v>344</v>
      </c>
      <c r="C121" s="181"/>
      <c r="D121" s="182">
        <f>'[34]TAKE OFF sHEET'!F43</f>
        <v>0</v>
      </c>
      <c r="E121" s="187"/>
      <c r="F121" s="184"/>
      <c r="G121" s="242"/>
      <c r="H121" s="239"/>
      <c r="I121" s="238"/>
      <c r="J121" s="239"/>
      <c r="K121" s="238"/>
      <c r="L121" s="239"/>
      <c r="M121" s="238"/>
      <c r="N121" s="239"/>
      <c r="O121" s="238"/>
      <c r="P121" s="239"/>
      <c r="Q121" s="238"/>
      <c r="R121" s="239"/>
      <c r="S121" s="238"/>
      <c r="T121" s="236">
        <f t="shared" si="27"/>
        <v>0</v>
      </c>
      <c r="U121" s="238"/>
      <c r="V121" s="239"/>
      <c r="W121" s="238"/>
      <c r="X121" s="236">
        <f t="shared" si="28"/>
        <v>0</v>
      </c>
      <c r="Y121" s="238"/>
      <c r="Z121" s="239"/>
      <c r="AA121" s="237">
        <f t="shared" si="29"/>
        <v>0</v>
      </c>
      <c r="AB121" s="236">
        <f t="shared" si="29"/>
        <v>0</v>
      </c>
      <c r="AC121" s="238"/>
      <c r="AD121" s="236">
        <f t="shared" si="30"/>
        <v>0</v>
      </c>
      <c r="AE121" s="237">
        <f t="shared" si="31"/>
        <v>0</v>
      </c>
      <c r="AF121" s="236">
        <f t="shared" si="31"/>
        <v>0</v>
      </c>
      <c r="AG121" s="238"/>
      <c r="AH121" s="236">
        <f t="shared" si="32"/>
        <v>0</v>
      </c>
      <c r="AI121" s="237">
        <f t="shared" si="33"/>
        <v>0</v>
      </c>
      <c r="AJ121" s="236">
        <f t="shared" si="33"/>
        <v>0</v>
      </c>
      <c r="AK121" s="238"/>
      <c r="AL121" s="236">
        <f t="shared" si="34"/>
        <v>0</v>
      </c>
      <c r="AM121" s="237">
        <f t="shared" si="37"/>
        <v>0</v>
      </c>
      <c r="AN121" s="236">
        <f t="shared" si="37"/>
        <v>0</v>
      </c>
      <c r="AO121" s="240"/>
      <c r="AP121" s="236">
        <f t="shared" si="36"/>
        <v>0</v>
      </c>
    </row>
    <row r="122" spans="1:42" s="134" customFormat="1">
      <c r="A122" s="185"/>
      <c r="B122" s="188"/>
      <c r="C122" s="181"/>
      <c r="D122" s="182">
        <f>'[34]TAKE OFF sHEET'!F44</f>
        <v>0</v>
      </c>
      <c r="E122" s="187"/>
      <c r="F122" s="184"/>
      <c r="G122" s="242"/>
      <c r="H122" s="239"/>
      <c r="I122" s="238"/>
      <c r="J122" s="239"/>
      <c r="K122" s="238"/>
      <c r="L122" s="239"/>
      <c r="M122" s="238"/>
      <c r="N122" s="239"/>
      <c r="O122" s="238"/>
      <c r="P122" s="239"/>
      <c r="Q122" s="238"/>
      <c r="R122" s="239"/>
      <c r="S122" s="238"/>
      <c r="T122" s="236">
        <f t="shared" si="27"/>
        <v>0</v>
      </c>
      <c r="U122" s="238"/>
      <c r="V122" s="239"/>
      <c r="W122" s="238"/>
      <c r="X122" s="236">
        <f t="shared" si="28"/>
        <v>0</v>
      </c>
      <c r="Y122" s="238"/>
      <c r="Z122" s="239"/>
      <c r="AA122" s="237">
        <f t="shared" si="29"/>
        <v>0</v>
      </c>
      <c r="AB122" s="236">
        <f t="shared" si="29"/>
        <v>0</v>
      </c>
      <c r="AC122" s="238"/>
      <c r="AD122" s="236">
        <f t="shared" si="30"/>
        <v>0</v>
      </c>
      <c r="AE122" s="237">
        <f t="shared" si="31"/>
        <v>0</v>
      </c>
      <c r="AF122" s="236">
        <f t="shared" si="31"/>
        <v>0</v>
      </c>
      <c r="AG122" s="238"/>
      <c r="AH122" s="236">
        <f t="shared" si="32"/>
        <v>0</v>
      </c>
      <c r="AI122" s="237">
        <f t="shared" si="33"/>
        <v>0</v>
      </c>
      <c r="AJ122" s="236">
        <f t="shared" si="33"/>
        <v>0</v>
      </c>
      <c r="AK122" s="238"/>
      <c r="AL122" s="236">
        <f t="shared" si="34"/>
        <v>0</v>
      </c>
      <c r="AM122" s="237">
        <f t="shared" si="37"/>
        <v>0</v>
      </c>
      <c r="AN122" s="236">
        <f t="shared" si="37"/>
        <v>0</v>
      </c>
      <c r="AO122" s="240"/>
      <c r="AP122" s="236">
        <f t="shared" si="36"/>
        <v>0</v>
      </c>
    </row>
    <row r="123" spans="1:42" s="134" customFormat="1">
      <c r="A123" s="185" t="s">
        <v>345</v>
      </c>
      <c r="B123" s="146" t="s">
        <v>346</v>
      </c>
      <c r="C123" s="186" t="s">
        <v>10</v>
      </c>
      <c r="D123" s="182">
        <f>'[34]TAKE OFF sHEET'!F45</f>
        <v>3</v>
      </c>
      <c r="E123" s="187">
        <v>4250</v>
      </c>
      <c r="F123" s="170">
        <f>D123*E123</f>
        <v>12750</v>
      </c>
      <c r="G123" s="242"/>
      <c r="H123" s="239"/>
      <c r="I123" s="238"/>
      <c r="J123" s="239"/>
      <c r="K123" s="238"/>
      <c r="L123" s="239"/>
      <c r="M123" s="238"/>
      <c r="N123" s="239"/>
      <c r="O123" s="238"/>
      <c r="P123" s="239"/>
      <c r="Q123" s="238"/>
      <c r="R123" s="239"/>
      <c r="S123" s="238"/>
      <c r="T123" s="236">
        <f t="shared" si="27"/>
        <v>0</v>
      </c>
      <c r="U123" s="238"/>
      <c r="V123" s="239"/>
      <c r="W123" s="238"/>
      <c r="X123" s="236">
        <f t="shared" si="28"/>
        <v>0</v>
      </c>
      <c r="Y123" s="238"/>
      <c r="Z123" s="239"/>
      <c r="AA123" s="237">
        <f t="shared" si="29"/>
        <v>0</v>
      </c>
      <c r="AB123" s="236">
        <f t="shared" si="29"/>
        <v>0</v>
      </c>
      <c r="AC123" s="238"/>
      <c r="AD123" s="236">
        <f t="shared" si="30"/>
        <v>0</v>
      </c>
      <c r="AE123" s="237">
        <f t="shared" si="31"/>
        <v>0</v>
      </c>
      <c r="AF123" s="236">
        <f t="shared" si="31"/>
        <v>0</v>
      </c>
      <c r="AG123" s="238"/>
      <c r="AH123" s="236">
        <f t="shared" si="32"/>
        <v>0</v>
      </c>
      <c r="AI123" s="237">
        <f t="shared" si="33"/>
        <v>0</v>
      </c>
      <c r="AJ123" s="236">
        <f t="shared" si="33"/>
        <v>0</v>
      </c>
      <c r="AK123" s="238"/>
      <c r="AL123" s="236">
        <f t="shared" si="34"/>
        <v>0</v>
      </c>
      <c r="AM123" s="237">
        <f t="shared" si="37"/>
        <v>0</v>
      </c>
      <c r="AN123" s="236">
        <f t="shared" si="37"/>
        <v>0</v>
      </c>
      <c r="AO123" s="240"/>
      <c r="AP123" s="236">
        <f t="shared" si="36"/>
        <v>0</v>
      </c>
    </row>
    <row r="124" spans="1:42" s="134" customFormat="1">
      <c r="A124" s="185"/>
      <c r="B124" s="146"/>
      <c r="C124" s="181"/>
      <c r="D124" s="182">
        <f>'[34]TAKE OFF sHEET'!F46</f>
        <v>0</v>
      </c>
      <c r="E124" s="183"/>
      <c r="F124" s="166"/>
      <c r="G124" s="242"/>
      <c r="H124" s="239"/>
      <c r="I124" s="238"/>
      <c r="J124" s="239"/>
      <c r="K124" s="238"/>
      <c r="L124" s="239"/>
      <c r="M124" s="238"/>
      <c r="N124" s="239"/>
      <c r="O124" s="238"/>
      <c r="P124" s="239"/>
      <c r="Q124" s="238"/>
      <c r="R124" s="239"/>
      <c r="S124" s="238"/>
      <c r="T124" s="236">
        <f t="shared" si="27"/>
        <v>0</v>
      </c>
      <c r="U124" s="238"/>
      <c r="V124" s="239"/>
      <c r="W124" s="238"/>
      <c r="X124" s="236">
        <f t="shared" si="28"/>
        <v>0</v>
      </c>
      <c r="Y124" s="238"/>
      <c r="Z124" s="239"/>
      <c r="AA124" s="237">
        <f t="shared" si="29"/>
        <v>0</v>
      </c>
      <c r="AB124" s="236">
        <f t="shared" si="29"/>
        <v>0</v>
      </c>
      <c r="AC124" s="238"/>
      <c r="AD124" s="236">
        <f t="shared" si="30"/>
        <v>0</v>
      </c>
      <c r="AE124" s="237">
        <f t="shared" si="31"/>
        <v>0</v>
      </c>
      <c r="AF124" s="236">
        <f t="shared" si="31"/>
        <v>0</v>
      </c>
      <c r="AG124" s="238"/>
      <c r="AH124" s="236">
        <f t="shared" si="32"/>
        <v>0</v>
      </c>
      <c r="AI124" s="237">
        <f t="shared" si="33"/>
        <v>0</v>
      </c>
      <c r="AJ124" s="236">
        <f t="shared" si="33"/>
        <v>0</v>
      </c>
      <c r="AK124" s="238"/>
      <c r="AL124" s="236">
        <f t="shared" si="34"/>
        <v>0</v>
      </c>
      <c r="AM124" s="237">
        <f t="shared" si="37"/>
        <v>0</v>
      </c>
      <c r="AN124" s="236">
        <f t="shared" si="37"/>
        <v>0</v>
      </c>
      <c r="AO124" s="240"/>
      <c r="AP124" s="236">
        <f t="shared" si="36"/>
        <v>0</v>
      </c>
    </row>
    <row r="125" spans="1:42" s="134" customFormat="1">
      <c r="A125" s="179"/>
      <c r="B125" s="190" t="s">
        <v>347</v>
      </c>
      <c r="C125" s="181"/>
      <c r="D125" s="182">
        <f>'[34]TAKE OFF sHEET'!F47</f>
        <v>0</v>
      </c>
      <c r="E125" s="187"/>
      <c r="F125" s="184"/>
      <c r="G125" s="242"/>
      <c r="H125" s="239"/>
      <c r="I125" s="238"/>
      <c r="J125" s="239"/>
      <c r="K125" s="238"/>
      <c r="L125" s="239"/>
      <c r="M125" s="238"/>
      <c r="N125" s="239"/>
      <c r="O125" s="238"/>
      <c r="P125" s="239"/>
      <c r="Q125" s="238"/>
      <c r="R125" s="239"/>
      <c r="S125" s="238"/>
      <c r="T125" s="236">
        <f t="shared" si="27"/>
        <v>0</v>
      </c>
      <c r="U125" s="238"/>
      <c r="V125" s="239"/>
      <c r="W125" s="238"/>
      <c r="X125" s="236">
        <f t="shared" si="28"/>
        <v>0</v>
      </c>
      <c r="Y125" s="238"/>
      <c r="Z125" s="239"/>
      <c r="AA125" s="237">
        <f t="shared" si="29"/>
        <v>0</v>
      </c>
      <c r="AB125" s="236">
        <f t="shared" si="29"/>
        <v>0</v>
      </c>
      <c r="AC125" s="238"/>
      <c r="AD125" s="236">
        <f t="shared" si="30"/>
        <v>0</v>
      </c>
      <c r="AE125" s="237">
        <f t="shared" si="31"/>
        <v>0</v>
      </c>
      <c r="AF125" s="236">
        <f t="shared" si="31"/>
        <v>0</v>
      </c>
      <c r="AG125" s="238"/>
      <c r="AH125" s="236">
        <f t="shared" si="32"/>
        <v>0</v>
      </c>
      <c r="AI125" s="237">
        <f t="shared" si="33"/>
        <v>0</v>
      </c>
      <c r="AJ125" s="236">
        <f t="shared" si="33"/>
        <v>0</v>
      </c>
      <c r="AK125" s="238"/>
      <c r="AL125" s="236">
        <f t="shared" si="34"/>
        <v>0</v>
      </c>
      <c r="AM125" s="237">
        <f t="shared" si="37"/>
        <v>0</v>
      </c>
      <c r="AN125" s="236">
        <f t="shared" si="37"/>
        <v>0</v>
      </c>
      <c r="AO125" s="240"/>
      <c r="AP125" s="236">
        <f t="shared" si="36"/>
        <v>0</v>
      </c>
    </row>
    <row r="126" spans="1:42" s="134" customFormat="1">
      <c r="A126" s="185"/>
      <c r="B126" s="188"/>
      <c r="C126" s="181"/>
      <c r="D126" s="182">
        <f>'[34]TAKE OFF sHEET'!F48</f>
        <v>0</v>
      </c>
      <c r="E126" s="187"/>
      <c r="F126" s="184"/>
      <c r="G126" s="242"/>
      <c r="H126" s="239"/>
      <c r="I126" s="238"/>
      <c r="J126" s="239"/>
      <c r="K126" s="238"/>
      <c r="L126" s="239"/>
      <c r="M126" s="238"/>
      <c r="N126" s="239"/>
      <c r="O126" s="238"/>
      <c r="P126" s="239"/>
      <c r="Q126" s="238"/>
      <c r="R126" s="239"/>
      <c r="S126" s="238"/>
      <c r="T126" s="236">
        <f t="shared" si="27"/>
        <v>0</v>
      </c>
      <c r="U126" s="238"/>
      <c r="V126" s="239"/>
      <c r="W126" s="238"/>
      <c r="X126" s="236">
        <f t="shared" si="28"/>
        <v>0</v>
      </c>
      <c r="Y126" s="238"/>
      <c r="Z126" s="239"/>
      <c r="AA126" s="237">
        <f t="shared" si="29"/>
        <v>0</v>
      </c>
      <c r="AB126" s="236">
        <f t="shared" si="29"/>
        <v>0</v>
      </c>
      <c r="AC126" s="238"/>
      <c r="AD126" s="236">
        <f t="shared" si="30"/>
        <v>0</v>
      </c>
      <c r="AE126" s="237">
        <f t="shared" si="31"/>
        <v>0</v>
      </c>
      <c r="AF126" s="236">
        <f t="shared" si="31"/>
        <v>0</v>
      </c>
      <c r="AG126" s="238"/>
      <c r="AH126" s="236">
        <f t="shared" si="32"/>
        <v>0</v>
      </c>
      <c r="AI126" s="237">
        <f t="shared" si="33"/>
        <v>0</v>
      </c>
      <c r="AJ126" s="236">
        <f t="shared" si="33"/>
        <v>0</v>
      </c>
      <c r="AK126" s="238"/>
      <c r="AL126" s="236">
        <f t="shared" si="34"/>
        <v>0</v>
      </c>
      <c r="AM126" s="237">
        <f t="shared" si="37"/>
        <v>0</v>
      </c>
      <c r="AN126" s="236">
        <f t="shared" si="37"/>
        <v>0</v>
      </c>
      <c r="AO126" s="240"/>
      <c r="AP126" s="236">
        <f t="shared" si="36"/>
        <v>0</v>
      </c>
    </row>
    <row r="127" spans="1:42" s="134" customFormat="1" ht="25">
      <c r="A127" s="185" t="s">
        <v>348</v>
      </c>
      <c r="B127" s="189" t="s">
        <v>349</v>
      </c>
      <c r="C127" s="186" t="s">
        <v>10</v>
      </c>
      <c r="D127" s="182">
        <f>'[34]TAKE OFF sHEET'!F49</f>
        <v>3</v>
      </c>
      <c r="E127" s="187">
        <v>5085</v>
      </c>
      <c r="F127" s="170">
        <f>D127*E127</f>
        <v>15255</v>
      </c>
      <c r="G127" s="242"/>
      <c r="H127" s="239"/>
      <c r="I127" s="238"/>
      <c r="J127" s="239"/>
      <c r="K127" s="238"/>
      <c r="L127" s="239"/>
      <c r="M127" s="238"/>
      <c r="N127" s="239"/>
      <c r="O127" s="238"/>
      <c r="P127" s="239"/>
      <c r="Q127" s="238"/>
      <c r="R127" s="239"/>
      <c r="S127" s="238"/>
      <c r="T127" s="236">
        <f t="shared" si="27"/>
        <v>0</v>
      </c>
      <c r="U127" s="238"/>
      <c r="V127" s="239"/>
      <c r="W127" s="238"/>
      <c r="X127" s="236">
        <f t="shared" si="28"/>
        <v>0</v>
      </c>
      <c r="Y127" s="238"/>
      <c r="Z127" s="239"/>
      <c r="AA127" s="237">
        <f t="shared" si="29"/>
        <v>0</v>
      </c>
      <c r="AB127" s="236">
        <f t="shared" si="29"/>
        <v>0</v>
      </c>
      <c r="AC127" s="238"/>
      <c r="AD127" s="236">
        <f t="shared" si="30"/>
        <v>0</v>
      </c>
      <c r="AE127" s="237">
        <f t="shared" si="31"/>
        <v>0</v>
      </c>
      <c r="AF127" s="236">
        <f t="shared" si="31"/>
        <v>0</v>
      </c>
      <c r="AG127" s="238"/>
      <c r="AH127" s="236">
        <f t="shared" si="32"/>
        <v>0</v>
      </c>
      <c r="AI127" s="237">
        <f t="shared" si="33"/>
        <v>0</v>
      </c>
      <c r="AJ127" s="236">
        <f t="shared" si="33"/>
        <v>0</v>
      </c>
      <c r="AK127" s="238"/>
      <c r="AL127" s="236">
        <f t="shared" si="34"/>
        <v>0</v>
      </c>
      <c r="AM127" s="237">
        <f t="shared" si="37"/>
        <v>0</v>
      </c>
      <c r="AN127" s="236">
        <f t="shared" si="37"/>
        <v>0</v>
      </c>
      <c r="AO127" s="240"/>
      <c r="AP127" s="236">
        <f t="shared" si="36"/>
        <v>0</v>
      </c>
    </row>
    <row r="128" spans="1:42" s="243" customFormat="1">
      <c r="A128" s="185"/>
      <c r="B128" s="146"/>
      <c r="C128" s="181"/>
      <c r="D128" s="182">
        <f>'[34]TAKE OFF sHEET'!F50</f>
        <v>0</v>
      </c>
      <c r="E128" s="187"/>
      <c r="F128" s="184"/>
      <c r="G128" s="242"/>
      <c r="H128" s="239"/>
      <c r="I128" s="238"/>
      <c r="J128" s="239"/>
      <c r="K128" s="238"/>
      <c r="L128" s="239"/>
      <c r="M128" s="238"/>
      <c r="N128" s="239"/>
      <c r="O128" s="238"/>
      <c r="P128" s="239"/>
      <c r="Q128" s="238"/>
      <c r="R128" s="239"/>
      <c r="S128" s="238"/>
      <c r="T128" s="236">
        <f t="shared" si="27"/>
        <v>0</v>
      </c>
      <c r="U128" s="238"/>
      <c r="V128" s="239"/>
      <c r="W128" s="238"/>
      <c r="X128" s="236">
        <f t="shared" si="28"/>
        <v>0</v>
      </c>
      <c r="Y128" s="238"/>
      <c r="Z128" s="239"/>
      <c r="AA128" s="237">
        <f t="shared" si="29"/>
        <v>0</v>
      </c>
      <c r="AB128" s="236">
        <f t="shared" si="29"/>
        <v>0</v>
      </c>
      <c r="AC128" s="238"/>
      <c r="AD128" s="236">
        <f t="shared" si="30"/>
        <v>0</v>
      </c>
      <c r="AE128" s="237">
        <f t="shared" si="31"/>
        <v>0</v>
      </c>
      <c r="AF128" s="236">
        <f t="shared" si="31"/>
        <v>0</v>
      </c>
      <c r="AG128" s="238"/>
      <c r="AH128" s="236">
        <f t="shared" si="32"/>
        <v>0</v>
      </c>
      <c r="AI128" s="237">
        <f t="shared" si="33"/>
        <v>0</v>
      </c>
      <c r="AJ128" s="236">
        <f t="shared" si="33"/>
        <v>0</v>
      </c>
      <c r="AK128" s="238"/>
      <c r="AL128" s="236">
        <f t="shared" si="34"/>
        <v>0</v>
      </c>
      <c r="AM128" s="237">
        <f t="shared" si="37"/>
        <v>0</v>
      </c>
      <c r="AN128" s="236">
        <f t="shared" si="37"/>
        <v>0</v>
      </c>
      <c r="AO128" s="240"/>
      <c r="AP128" s="236">
        <f t="shared" si="36"/>
        <v>0</v>
      </c>
    </row>
    <row r="129" spans="1:42" s="134" customFormat="1" ht="25">
      <c r="A129" s="185" t="s">
        <v>350</v>
      </c>
      <c r="B129" s="189" t="s">
        <v>351</v>
      </c>
      <c r="C129" s="186" t="s">
        <v>10</v>
      </c>
      <c r="D129" s="182">
        <f>'[34]TAKE OFF sHEET'!F51</f>
        <v>3</v>
      </c>
      <c r="E129" s="187">
        <v>30520</v>
      </c>
      <c r="F129" s="170">
        <f>D129*E129</f>
        <v>91560</v>
      </c>
      <c r="G129" s="242"/>
      <c r="H129" s="239"/>
      <c r="I129" s="238"/>
      <c r="J129" s="239"/>
      <c r="K129" s="238"/>
      <c r="L129" s="239"/>
      <c r="M129" s="238"/>
      <c r="N129" s="239"/>
      <c r="O129" s="238"/>
      <c r="P129" s="239"/>
      <c r="Q129" s="238"/>
      <c r="R129" s="239"/>
      <c r="S129" s="238"/>
      <c r="T129" s="236">
        <f t="shared" si="27"/>
        <v>0</v>
      </c>
      <c r="U129" s="238"/>
      <c r="V129" s="239"/>
      <c r="W129" s="238"/>
      <c r="X129" s="236">
        <f t="shared" si="28"/>
        <v>0</v>
      </c>
      <c r="Y129" s="238"/>
      <c r="Z129" s="239"/>
      <c r="AA129" s="237">
        <f t="shared" si="29"/>
        <v>0</v>
      </c>
      <c r="AB129" s="236">
        <f t="shared" si="29"/>
        <v>0</v>
      </c>
      <c r="AC129" s="238"/>
      <c r="AD129" s="236">
        <f t="shared" si="30"/>
        <v>0</v>
      </c>
      <c r="AE129" s="237">
        <f t="shared" si="31"/>
        <v>0</v>
      </c>
      <c r="AF129" s="236">
        <f t="shared" si="31"/>
        <v>0</v>
      </c>
      <c r="AG129" s="238"/>
      <c r="AH129" s="236">
        <f t="shared" si="32"/>
        <v>0</v>
      </c>
      <c r="AI129" s="237">
        <f t="shared" si="33"/>
        <v>0</v>
      </c>
      <c r="AJ129" s="236">
        <f t="shared" si="33"/>
        <v>0</v>
      </c>
      <c r="AK129" s="238"/>
      <c r="AL129" s="236">
        <f t="shared" si="34"/>
        <v>0</v>
      </c>
      <c r="AM129" s="237">
        <f t="shared" si="37"/>
        <v>0</v>
      </c>
      <c r="AN129" s="236">
        <f t="shared" si="37"/>
        <v>0</v>
      </c>
      <c r="AO129" s="240"/>
      <c r="AP129" s="236">
        <f t="shared" si="36"/>
        <v>0</v>
      </c>
    </row>
    <row r="130" spans="1:42" s="245" customFormat="1">
      <c r="A130" s="194"/>
      <c r="B130" s="195"/>
      <c r="C130" s="196"/>
      <c r="D130" s="182">
        <f>'[34]TAKE OFF sHEET'!F52</f>
        <v>0</v>
      </c>
      <c r="E130" s="187"/>
      <c r="F130" s="170"/>
      <c r="G130" s="244"/>
      <c r="H130" s="239"/>
      <c r="I130" s="182"/>
      <c r="J130" s="239"/>
      <c r="K130" s="182"/>
      <c r="L130" s="239"/>
      <c r="M130" s="182"/>
      <c r="N130" s="239"/>
      <c r="O130" s="182"/>
      <c r="P130" s="239"/>
      <c r="Q130" s="182"/>
      <c r="R130" s="239"/>
      <c r="S130" s="182"/>
      <c r="T130" s="239"/>
      <c r="U130" s="182"/>
      <c r="V130" s="239"/>
      <c r="W130" s="182"/>
      <c r="X130" s="239"/>
      <c r="Y130" s="182"/>
      <c r="Z130" s="239"/>
      <c r="AA130" s="182"/>
      <c r="AB130" s="239"/>
      <c r="AC130" s="182"/>
      <c r="AD130" s="239"/>
      <c r="AE130" s="182"/>
      <c r="AF130" s="239"/>
      <c r="AG130" s="182"/>
      <c r="AH130" s="239"/>
      <c r="AI130" s="182"/>
      <c r="AJ130" s="239"/>
      <c r="AK130" s="182"/>
      <c r="AL130" s="239"/>
      <c r="AM130" s="182"/>
      <c r="AN130" s="239"/>
      <c r="AO130" s="182"/>
      <c r="AP130" s="239"/>
    </row>
    <row r="131" spans="1:42" s="134" customFormat="1" ht="25">
      <c r="A131" s="185" t="s">
        <v>352</v>
      </c>
      <c r="B131" s="189" t="s">
        <v>353</v>
      </c>
      <c r="C131" s="186" t="s">
        <v>10</v>
      </c>
      <c r="D131" s="182">
        <f>'[34]TAKE OFF sHEET'!F53</f>
        <v>3</v>
      </c>
      <c r="E131" s="187">
        <v>16250</v>
      </c>
      <c r="F131" s="170">
        <f>D131*E131</f>
        <v>48750</v>
      </c>
      <c r="G131" s="242"/>
      <c r="H131" s="239"/>
      <c r="I131" s="238"/>
      <c r="J131" s="239"/>
      <c r="K131" s="238"/>
      <c r="L131" s="239"/>
      <c r="M131" s="238"/>
      <c r="N131" s="239"/>
      <c r="O131" s="238"/>
      <c r="P131" s="239"/>
      <c r="Q131" s="238"/>
      <c r="R131" s="239"/>
      <c r="S131" s="238"/>
      <c r="T131" s="236">
        <f t="shared" ref="T131:T143" si="38">R131+P131</f>
        <v>0</v>
      </c>
      <c r="U131" s="238"/>
      <c r="V131" s="239"/>
      <c r="W131" s="238"/>
      <c r="X131" s="236">
        <f t="shared" ref="X131:X143" si="39">V131+T131</f>
        <v>0</v>
      </c>
      <c r="Y131" s="238"/>
      <c r="Z131" s="239"/>
      <c r="AA131" s="237">
        <f t="shared" ref="AA131:AB143" si="40">Y131+W131</f>
        <v>0</v>
      </c>
      <c r="AB131" s="236">
        <f t="shared" si="40"/>
        <v>0</v>
      </c>
      <c r="AC131" s="238"/>
      <c r="AD131" s="236">
        <f t="shared" ref="AD131:AD143" si="41">AC131*E131</f>
        <v>0</v>
      </c>
      <c r="AE131" s="237">
        <f t="shared" ref="AE131:AF143" si="42">AC131+AA131</f>
        <v>0</v>
      </c>
      <c r="AF131" s="236">
        <f t="shared" si="42"/>
        <v>0</v>
      </c>
      <c r="AG131" s="238"/>
      <c r="AH131" s="236">
        <f t="shared" ref="AH131:AH143" si="43">AG131*E131</f>
        <v>0</v>
      </c>
      <c r="AI131" s="237">
        <f t="shared" ref="AI131:AJ143" si="44">AG131+AE131</f>
        <v>0</v>
      </c>
      <c r="AJ131" s="236">
        <f t="shared" si="44"/>
        <v>0</v>
      </c>
      <c r="AK131" s="238"/>
      <c r="AL131" s="236">
        <f t="shared" ref="AL131:AL143" si="45">AK131*E131</f>
        <v>0</v>
      </c>
      <c r="AM131" s="237">
        <f t="shared" ref="AM131:AN143" si="46">AK131+AI131</f>
        <v>0</v>
      </c>
      <c r="AN131" s="236">
        <f t="shared" si="46"/>
        <v>0</v>
      </c>
      <c r="AO131" s="240"/>
      <c r="AP131" s="236">
        <f t="shared" ref="AP131:AP143" si="47">AO131*E131</f>
        <v>0</v>
      </c>
    </row>
    <row r="132" spans="1:42" s="134" customFormat="1">
      <c r="A132" s="185"/>
      <c r="B132" s="188"/>
      <c r="C132" s="181"/>
      <c r="D132" s="182">
        <f>'[34]TAKE OFF sHEET'!F54</f>
        <v>0</v>
      </c>
      <c r="E132" s="187"/>
      <c r="F132" s="184"/>
      <c r="G132" s="242"/>
      <c r="H132" s="239"/>
      <c r="I132" s="238"/>
      <c r="J132" s="239"/>
      <c r="K132" s="238"/>
      <c r="L132" s="239"/>
      <c r="M132" s="238"/>
      <c r="N132" s="239"/>
      <c r="O132" s="238"/>
      <c r="P132" s="239"/>
      <c r="Q132" s="238"/>
      <c r="R132" s="239"/>
      <c r="S132" s="238"/>
      <c r="T132" s="236">
        <f t="shared" si="38"/>
        <v>0</v>
      </c>
      <c r="U132" s="238"/>
      <c r="V132" s="239"/>
      <c r="W132" s="238"/>
      <c r="X132" s="236">
        <f t="shared" si="39"/>
        <v>0</v>
      </c>
      <c r="Y132" s="238"/>
      <c r="Z132" s="239"/>
      <c r="AA132" s="237">
        <f t="shared" si="40"/>
        <v>0</v>
      </c>
      <c r="AB132" s="236">
        <f t="shared" si="40"/>
        <v>0</v>
      </c>
      <c r="AC132" s="238"/>
      <c r="AD132" s="236">
        <f t="shared" si="41"/>
        <v>0</v>
      </c>
      <c r="AE132" s="237">
        <f t="shared" si="42"/>
        <v>0</v>
      </c>
      <c r="AF132" s="236">
        <f t="shared" si="42"/>
        <v>0</v>
      </c>
      <c r="AG132" s="238"/>
      <c r="AH132" s="236">
        <f t="shared" si="43"/>
        <v>0</v>
      </c>
      <c r="AI132" s="237">
        <f t="shared" si="44"/>
        <v>0</v>
      </c>
      <c r="AJ132" s="236">
        <f t="shared" si="44"/>
        <v>0</v>
      </c>
      <c r="AK132" s="238"/>
      <c r="AL132" s="236">
        <f t="shared" si="45"/>
        <v>0</v>
      </c>
      <c r="AM132" s="237">
        <f t="shared" si="46"/>
        <v>0</v>
      </c>
      <c r="AN132" s="236">
        <f t="shared" si="46"/>
        <v>0</v>
      </c>
      <c r="AO132" s="240"/>
      <c r="AP132" s="236">
        <f t="shared" si="47"/>
        <v>0</v>
      </c>
    </row>
    <row r="133" spans="1:42" s="134" customFormat="1" ht="25">
      <c r="A133" s="185" t="s">
        <v>354</v>
      </c>
      <c r="B133" s="189" t="s">
        <v>355</v>
      </c>
      <c r="C133" s="186" t="s">
        <v>10</v>
      </c>
      <c r="D133" s="182">
        <f>'[34]TAKE OFF sHEET'!F55</f>
        <v>3</v>
      </c>
      <c r="E133" s="187">
        <v>3450</v>
      </c>
      <c r="F133" s="170">
        <f>D133*E133</f>
        <v>10350</v>
      </c>
      <c r="G133" s="242"/>
      <c r="H133" s="239"/>
      <c r="I133" s="238"/>
      <c r="J133" s="239"/>
      <c r="K133" s="238"/>
      <c r="L133" s="239"/>
      <c r="M133" s="238"/>
      <c r="N133" s="239"/>
      <c r="O133" s="238"/>
      <c r="P133" s="239"/>
      <c r="Q133" s="238"/>
      <c r="R133" s="239"/>
      <c r="S133" s="238"/>
      <c r="T133" s="236">
        <f t="shared" si="38"/>
        <v>0</v>
      </c>
      <c r="U133" s="238"/>
      <c r="V133" s="239"/>
      <c r="W133" s="238"/>
      <c r="X133" s="236">
        <f t="shared" si="39"/>
        <v>0</v>
      </c>
      <c r="Y133" s="238"/>
      <c r="Z133" s="239"/>
      <c r="AA133" s="237">
        <f t="shared" si="40"/>
        <v>0</v>
      </c>
      <c r="AB133" s="236">
        <f t="shared" si="40"/>
        <v>0</v>
      </c>
      <c r="AC133" s="238"/>
      <c r="AD133" s="236">
        <f t="shared" si="41"/>
        <v>0</v>
      </c>
      <c r="AE133" s="237">
        <f t="shared" si="42"/>
        <v>0</v>
      </c>
      <c r="AF133" s="236">
        <f t="shared" si="42"/>
        <v>0</v>
      </c>
      <c r="AG133" s="238"/>
      <c r="AH133" s="236">
        <f t="shared" si="43"/>
        <v>0</v>
      </c>
      <c r="AI133" s="237">
        <f t="shared" si="44"/>
        <v>0</v>
      </c>
      <c r="AJ133" s="236">
        <f t="shared" si="44"/>
        <v>0</v>
      </c>
      <c r="AK133" s="238"/>
      <c r="AL133" s="236">
        <f t="shared" si="45"/>
        <v>0</v>
      </c>
      <c r="AM133" s="237">
        <f t="shared" si="46"/>
        <v>0</v>
      </c>
      <c r="AN133" s="236">
        <f t="shared" si="46"/>
        <v>0</v>
      </c>
      <c r="AO133" s="240"/>
      <c r="AP133" s="236">
        <f t="shared" si="47"/>
        <v>0</v>
      </c>
    </row>
    <row r="134" spans="1:42" s="134" customFormat="1">
      <c r="A134" s="185"/>
      <c r="B134" s="188"/>
      <c r="C134" s="181"/>
      <c r="D134" s="182">
        <f>'[34]TAKE OFF sHEET'!F56</f>
        <v>0</v>
      </c>
      <c r="E134" s="183"/>
      <c r="F134" s="184"/>
      <c r="G134" s="242"/>
      <c r="H134" s="239"/>
      <c r="I134" s="238"/>
      <c r="J134" s="239"/>
      <c r="K134" s="238"/>
      <c r="L134" s="239"/>
      <c r="M134" s="238"/>
      <c r="N134" s="239"/>
      <c r="O134" s="238"/>
      <c r="P134" s="239"/>
      <c r="Q134" s="238"/>
      <c r="R134" s="239"/>
      <c r="S134" s="238"/>
      <c r="T134" s="236">
        <f t="shared" si="38"/>
        <v>0</v>
      </c>
      <c r="U134" s="238"/>
      <c r="V134" s="239"/>
      <c r="W134" s="238"/>
      <c r="X134" s="236">
        <f t="shared" si="39"/>
        <v>0</v>
      </c>
      <c r="Y134" s="238"/>
      <c r="Z134" s="239"/>
      <c r="AA134" s="237">
        <f t="shared" si="40"/>
        <v>0</v>
      </c>
      <c r="AB134" s="236">
        <f t="shared" si="40"/>
        <v>0</v>
      </c>
      <c r="AC134" s="238"/>
      <c r="AD134" s="236">
        <f t="shared" si="41"/>
        <v>0</v>
      </c>
      <c r="AE134" s="237">
        <f t="shared" si="42"/>
        <v>0</v>
      </c>
      <c r="AF134" s="236">
        <f t="shared" si="42"/>
        <v>0</v>
      </c>
      <c r="AG134" s="238"/>
      <c r="AH134" s="236">
        <f t="shared" si="43"/>
        <v>0</v>
      </c>
      <c r="AI134" s="237">
        <f t="shared" si="44"/>
        <v>0</v>
      </c>
      <c r="AJ134" s="236">
        <f t="shared" si="44"/>
        <v>0</v>
      </c>
      <c r="AK134" s="238"/>
      <c r="AL134" s="236">
        <f t="shared" si="45"/>
        <v>0</v>
      </c>
      <c r="AM134" s="237">
        <f t="shared" si="46"/>
        <v>0</v>
      </c>
      <c r="AN134" s="236">
        <f t="shared" si="46"/>
        <v>0</v>
      </c>
      <c r="AO134" s="240"/>
      <c r="AP134" s="236">
        <f t="shared" si="47"/>
        <v>0</v>
      </c>
    </row>
    <row r="135" spans="1:42" s="134" customFormat="1">
      <c r="A135" s="179"/>
      <c r="B135" s="190" t="s">
        <v>356</v>
      </c>
      <c r="C135" s="181"/>
      <c r="D135" s="182">
        <f>'[34]TAKE OFF sHEET'!F57</f>
        <v>0</v>
      </c>
      <c r="E135" s="183"/>
      <c r="F135" s="166"/>
      <c r="G135" s="242"/>
      <c r="H135" s="239"/>
      <c r="I135" s="238"/>
      <c r="J135" s="239"/>
      <c r="K135" s="238"/>
      <c r="L135" s="239"/>
      <c r="M135" s="238"/>
      <c r="N135" s="239"/>
      <c r="O135" s="238"/>
      <c r="P135" s="239"/>
      <c r="Q135" s="238"/>
      <c r="R135" s="239"/>
      <c r="S135" s="238"/>
      <c r="T135" s="236">
        <f t="shared" si="38"/>
        <v>0</v>
      </c>
      <c r="U135" s="238"/>
      <c r="V135" s="239"/>
      <c r="W135" s="238"/>
      <c r="X135" s="236">
        <f t="shared" si="39"/>
        <v>0</v>
      </c>
      <c r="Y135" s="238"/>
      <c r="Z135" s="239"/>
      <c r="AA135" s="237">
        <f t="shared" si="40"/>
        <v>0</v>
      </c>
      <c r="AB135" s="236">
        <f t="shared" si="40"/>
        <v>0</v>
      </c>
      <c r="AC135" s="238"/>
      <c r="AD135" s="236">
        <f t="shared" si="41"/>
        <v>0</v>
      </c>
      <c r="AE135" s="237">
        <f t="shared" si="42"/>
        <v>0</v>
      </c>
      <c r="AF135" s="236">
        <f t="shared" si="42"/>
        <v>0</v>
      </c>
      <c r="AG135" s="238"/>
      <c r="AH135" s="236">
        <f t="shared" si="43"/>
        <v>0</v>
      </c>
      <c r="AI135" s="237">
        <f t="shared" si="44"/>
        <v>0</v>
      </c>
      <c r="AJ135" s="236">
        <f t="shared" si="44"/>
        <v>0</v>
      </c>
      <c r="AK135" s="238"/>
      <c r="AL135" s="236">
        <f t="shared" si="45"/>
        <v>0</v>
      </c>
      <c r="AM135" s="237">
        <f t="shared" si="46"/>
        <v>0</v>
      </c>
      <c r="AN135" s="236">
        <f t="shared" si="46"/>
        <v>0</v>
      </c>
      <c r="AO135" s="240"/>
      <c r="AP135" s="236">
        <f t="shared" si="47"/>
        <v>0</v>
      </c>
    </row>
    <row r="136" spans="1:42" s="134" customFormat="1">
      <c r="A136" s="185"/>
      <c r="B136" s="188"/>
      <c r="C136" s="181"/>
      <c r="D136" s="182">
        <f>'[34]TAKE OFF sHEET'!F58</f>
        <v>0</v>
      </c>
      <c r="E136" s="187"/>
      <c r="F136" s="184"/>
      <c r="G136" s="242"/>
      <c r="H136" s="239"/>
      <c r="I136" s="238"/>
      <c r="J136" s="239"/>
      <c r="K136" s="238"/>
      <c r="L136" s="239"/>
      <c r="M136" s="238"/>
      <c r="N136" s="239"/>
      <c r="O136" s="238"/>
      <c r="P136" s="239"/>
      <c r="Q136" s="238"/>
      <c r="R136" s="239"/>
      <c r="S136" s="238"/>
      <c r="T136" s="236">
        <f t="shared" si="38"/>
        <v>0</v>
      </c>
      <c r="U136" s="238"/>
      <c r="V136" s="239"/>
      <c r="W136" s="238"/>
      <c r="X136" s="236">
        <f t="shared" si="39"/>
        <v>0</v>
      </c>
      <c r="Y136" s="238"/>
      <c r="Z136" s="239"/>
      <c r="AA136" s="237">
        <f t="shared" si="40"/>
        <v>0</v>
      </c>
      <c r="AB136" s="236">
        <f t="shared" si="40"/>
        <v>0</v>
      </c>
      <c r="AC136" s="238"/>
      <c r="AD136" s="236">
        <f t="shared" si="41"/>
        <v>0</v>
      </c>
      <c r="AE136" s="237">
        <f t="shared" si="42"/>
        <v>0</v>
      </c>
      <c r="AF136" s="236">
        <f t="shared" si="42"/>
        <v>0</v>
      </c>
      <c r="AG136" s="238"/>
      <c r="AH136" s="236">
        <f t="shared" si="43"/>
        <v>0</v>
      </c>
      <c r="AI136" s="237">
        <f t="shared" si="44"/>
        <v>0</v>
      </c>
      <c r="AJ136" s="236">
        <f t="shared" si="44"/>
        <v>0</v>
      </c>
      <c r="AK136" s="238"/>
      <c r="AL136" s="236">
        <f t="shared" si="45"/>
        <v>0</v>
      </c>
      <c r="AM136" s="237">
        <f t="shared" si="46"/>
        <v>0</v>
      </c>
      <c r="AN136" s="236">
        <f t="shared" si="46"/>
        <v>0</v>
      </c>
      <c r="AO136" s="240"/>
      <c r="AP136" s="236">
        <f t="shared" si="47"/>
        <v>0</v>
      </c>
    </row>
    <row r="137" spans="1:42" s="134" customFormat="1" ht="25">
      <c r="A137" s="185" t="s">
        <v>357</v>
      </c>
      <c r="B137" s="146" t="s">
        <v>358</v>
      </c>
      <c r="C137" s="186" t="s">
        <v>10</v>
      </c>
      <c r="D137" s="182">
        <f>'[34]TAKE OFF sHEET'!F59</f>
        <v>3</v>
      </c>
      <c r="E137" s="187">
        <v>42000</v>
      </c>
      <c r="F137" s="170">
        <f>D137*E137</f>
        <v>126000</v>
      </c>
      <c r="G137" s="242"/>
      <c r="H137" s="239"/>
      <c r="I137" s="238"/>
      <c r="J137" s="239"/>
      <c r="K137" s="238"/>
      <c r="L137" s="239"/>
      <c r="M137" s="238"/>
      <c r="N137" s="239"/>
      <c r="O137" s="238"/>
      <c r="P137" s="239"/>
      <c r="Q137" s="238"/>
      <c r="R137" s="239"/>
      <c r="S137" s="238"/>
      <c r="T137" s="236">
        <f t="shared" si="38"/>
        <v>0</v>
      </c>
      <c r="U137" s="238"/>
      <c r="V137" s="239"/>
      <c r="W137" s="238"/>
      <c r="X137" s="236">
        <f t="shared" si="39"/>
        <v>0</v>
      </c>
      <c r="Y137" s="238"/>
      <c r="Z137" s="239"/>
      <c r="AA137" s="237">
        <f t="shared" si="40"/>
        <v>0</v>
      </c>
      <c r="AB137" s="236">
        <f t="shared" si="40"/>
        <v>0</v>
      </c>
      <c r="AC137" s="238"/>
      <c r="AD137" s="236">
        <f t="shared" si="41"/>
        <v>0</v>
      </c>
      <c r="AE137" s="237">
        <f t="shared" si="42"/>
        <v>0</v>
      </c>
      <c r="AF137" s="236">
        <f t="shared" si="42"/>
        <v>0</v>
      </c>
      <c r="AG137" s="238"/>
      <c r="AH137" s="236">
        <f t="shared" si="43"/>
        <v>0</v>
      </c>
      <c r="AI137" s="237">
        <f t="shared" si="44"/>
        <v>0</v>
      </c>
      <c r="AJ137" s="236">
        <f t="shared" si="44"/>
        <v>0</v>
      </c>
      <c r="AK137" s="238"/>
      <c r="AL137" s="236">
        <f t="shared" si="45"/>
        <v>0</v>
      </c>
      <c r="AM137" s="237">
        <f t="shared" si="46"/>
        <v>0</v>
      </c>
      <c r="AN137" s="236">
        <f t="shared" si="46"/>
        <v>0</v>
      </c>
      <c r="AO137" s="240"/>
      <c r="AP137" s="236">
        <f t="shared" si="47"/>
        <v>0</v>
      </c>
    </row>
    <row r="138" spans="1:42" s="134" customFormat="1">
      <c r="A138" s="185"/>
      <c r="B138" s="188"/>
      <c r="C138" s="181"/>
      <c r="D138" s="182">
        <f>'[34]TAKE OFF sHEET'!F60</f>
        <v>0</v>
      </c>
      <c r="E138" s="183"/>
      <c r="F138" s="166"/>
      <c r="G138" s="242"/>
      <c r="H138" s="239"/>
      <c r="I138" s="238"/>
      <c r="J138" s="239"/>
      <c r="K138" s="238"/>
      <c r="L138" s="239"/>
      <c r="M138" s="238"/>
      <c r="N138" s="239"/>
      <c r="O138" s="238"/>
      <c r="P138" s="239"/>
      <c r="Q138" s="238"/>
      <c r="R138" s="239"/>
      <c r="S138" s="238"/>
      <c r="T138" s="236">
        <f t="shared" si="38"/>
        <v>0</v>
      </c>
      <c r="U138" s="238"/>
      <c r="V138" s="239"/>
      <c r="W138" s="238"/>
      <c r="X138" s="236">
        <f t="shared" si="39"/>
        <v>0</v>
      </c>
      <c r="Y138" s="238"/>
      <c r="Z138" s="239"/>
      <c r="AA138" s="237">
        <f t="shared" si="40"/>
        <v>0</v>
      </c>
      <c r="AB138" s="236">
        <f t="shared" si="40"/>
        <v>0</v>
      </c>
      <c r="AC138" s="238"/>
      <c r="AD138" s="236">
        <f t="shared" si="41"/>
        <v>0</v>
      </c>
      <c r="AE138" s="237">
        <f t="shared" si="42"/>
        <v>0</v>
      </c>
      <c r="AF138" s="236">
        <f t="shared" si="42"/>
        <v>0</v>
      </c>
      <c r="AG138" s="238"/>
      <c r="AH138" s="236">
        <f t="shared" si="43"/>
        <v>0</v>
      </c>
      <c r="AI138" s="237">
        <f t="shared" si="44"/>
        <v>0</v>
      </c>
      <c r="AJ138" s="236">
        <f t="shared" si="44"/>
        <v>0</v>
      </c>
      <c r="AK138" s="238"/>
      <c r="AL138" s="236">
        <f t="shared" si="45"/>
        <v>0</v>
      </c>
      <c r="AM138" s="237">
        <f t="shared" si="46"/>
        <v>0</v>
      </c>
      <c r="AN138" s="236">
        <f t="shared" si="46"/>
        <v>0</v>
      </c>
      <c r="AO138" s="240"/>
      <c r="AP138" s="236">
        <f t="shared" si="47"/>
        <v>0</v>
      </c>
    </row>
    <row r="139" spans="1:42" s="134" customFormat="1" ht="25">
      <c r="A139" s="185" t="s">
        <v>359</v>
      </c>
      <c r="B139" s="146" t="s">
        <v>360</v>
      </c>
      <c r="C139" s="186" t="s">
        <v>10</v>
      </c>
      <c r="D139" s="182">
        <f>'[34]TAKE OFF sHEET'!F61</f>
        <v>3</v>
      </c>
      <c r="E139" s="187">
        <v>45000</v>
      </c>
      <c r="F139" s="170">
        <f>D139*E139</f>
        <v>135000</v>
      </c>
      <c r="G139" s="242"/>
      <c r="H139" s="239"/>
      <c r="I139" s="238"/>
      <c r="J139" s="239"/>
      <c r="K139" s="238"/>
      <c r="L139" s="239"/>
      <c r="M139" s="238"/>
      <c r="N139" s="239"/>
      <c r="O139" s="238"/>
      <c r="P139" s="239"/>
      <c r="Q139" s="238"/>
      <c r="R139" s="239"/>
      <c r="S139" s="238"/>
      <c r="T139" s="236">
        <f t="shared" si="38"/>
        <v>0</v>
      </c>
      <c r="U139" s="238"/>
      <c r="V139" s="239"/>
      <c r="W139" s="238"/>
      <c r="X139" s="236">
        <f t="shared" si="39"/>
        <v>0</v>
      </c>
      <c r="Y139" s="238"/>
      <c r="Z139" s="239"/>
      <c r="AA139" s="237">
        <f t="shared" si="40"/>
        <v>0</v>
      </c>
      <c r="AB139" s="236">
        <f t="shared" si="40"/>
        <v>0</v>
      </c>
      <c r="AC139" s="238"/>
      <c r="AD139" s="236">
        <f t="shared" si="41"/>
        <v>0</v>
      </c>
      <c r="AE139" s="237">
        <f t="shared" si="42"/>
        <v>0</v>
      </c>
      <c r="AF139" s="236">
        <f t="shared" si="42"/>
        <v>0</v>
      </c>
      <c r="AG139" s="238"/>
      <c r="AH139" s="236">
        <f t="shared" si="43"/>
        <v>0</v>
      </c>
      <c r="AI139" s="237">
        <f t="shared" si="44"/>
        <v>0</v>
      </c>
      <c r="AJ139" s="236">
        <f t="shared" si="44"/>
        <v>0</v>
      </c>
      <c r="AK139" s="238"/>
      <c r="AL139" s="236">
        <f t="shared" si="45"/>
        <v>0</v>
      </c>
      <c r="AM139" s="237">
        <f t="shared" si="46"/>
        <v>0</v>
      </c>
      <c r="AN139" s="236">
        <f t="shared" si="46"/>
        <v>0</v>
      </c>
      <c r="AO139" s="240"/>
      <c r="AP139" s="236">
        <f t="shared" si="47"/>
        <v>0</v>
      </c>
    </row>
    <row r="140" spans="1:42" s="134" customFormat="1">
      <c r="A140" s="185"/>
      <c r="B140" s="146"/>
      <c r="C140" s="181"/>
      <c r="D140" s="182">
        <f>'[34]TAKE OFF sHEET'!F62</f>
        <v>0</v>
      </c>
      <c r="E140" s="183"/>
      <c r="F140" s="166"/>
      <c r="G140" s="242"/>
      <c r="H140" s="239"/>
      <c r="I140" s="238"/>
      <c r="J140" s="239"/>
      <c r="K140" s="238"/>
      <c r="L140" s="239"/>
      <c r="M140" s="238"/>
      <c r="N140" s="239"/>
      <c r="O140" s="238"/>
      <c r="P140" s="239"/>
      <c r="Q140" s="238"/>
      <c r="R140" s="239"/>
      <c r="S140" s="238"/>
      <c r="T140" s="236">
        <f t="shared" si="38"/>
        <v>0</v>
      </c>
      <c r="U140" s="238"/>
      <c r="V140" s="239"/>
      <c r="W140" s="238"/>
      <c r="X140" s="236">
        <f t="shared" si="39"/>
        <v>0</v>
      </c>
      <c r="Y140" s="238"/>
      <c r="Z140" s="239"/>
      <c r="AA140" s="237">
        <f t="shared" si="40"/>
        <v>0</v>
      </c>
      <c r="AB140" s="236">
        <f t="shared" si="40"/>
        <v>0</v>
      </c>
      <c r="AC140" s="238"/>
      <c r="AD140" s="236">
        <f t="shared" si="41"/>
        <v>0</v>
      </c>
      <c r="AE140" s="237">
        <f t="shared" si="42"/>
        <v>0</v>
      </c>
      <c r="AF140" s="236">
        <f t="shared" si="42"/>
        <v>0</v>
      </c>
      <c r="AG140" s="238"/>
      <c r="AH140" s="236">
        <f t="shared" si="43"/>
        <v>0</v>
      </c>
      <c r="AI140" s="237">
        <f t="shared" si="44"/>
        <v>0</v>
      </c>
      <c r="AJ140" s="236">
        <f t="shared" si="44"/>
        <v>0</v>
      </c>
      <c r="AK140" s="238"/>
      <c r="AL140" s="236">
        <f t="shared" si="45"/>
        <v>0</v>
      </c>
      <c r="AM140" s="237">
        <f t="shared" si="46"/>
        <v>0</v>
      </c>
      <c r="AN140" s="236">
        <f t="shared" si="46"/>
        <v>0</v>
      </c>
      <c r="AO140" s="240"/>
      <c r="AP140" s="236">
        <f t="shared" si="47"/>
        <v>0</v>
      </c>
    </row>
    <row r="141" spans="1:42" s="134" customFormat="1">
      <c r="A141" s="179"/>
      <c r="B141" s="190" t="s">
        <v>361</v>
      </c>
      <c r="C141" s="181"/>
      <c r="D141" s="182">
        <f>'[34]TAKE OFF sHEET'!F63</f>
        <v>0</v>
      </c>
      <c r="E141" s="183"/>
      <c r="F141" s="166"/>
      <c r="G141" s="242"/>
      <c r="H141" s="239"/>
      <c r="I141" s="238"/>
      <c r="J141" s="239"/>
      <c r="K141" s="238"/>
      <c r="L141" s="239"/>
      <c r="M141" s="238"/>
      <c r="N141" s="239"/>
      <c r="O141" s="238"/>
      <c r="P141" s="239"/>
      <c r="Q141" s="238"/>
      <c r="R141" s="239"/>
      <c r="S141" s="238"/>
      <c r="T141" s="236">
        <f t="shared" si="38"/>
        <v>0</v>
      </c>
      <c r="U141" s="238"/>
      <c r="V141" s="239"/>
      <c r="W141" s="238"/>
      <c r="X141" s="236">
        <f t="shared" si="39"/>
        <v>0</v>
      </c>
      <c r="Y141" s="238"/>
      <c r="Z141" s="239"/>
      <c r="AA141" s="237">
        <f t="shared" si="40"/>
        <v>0</v>
      </c>
      <c r="AB141" s="236">
        <f t="shared" si="40"/>
        <v>0</v>
      </c>
      <c r="AC141" s="238"/>
      <c r="AD141" s="236">
        <f t="shared" si="41"/>
        <v>0</v>
      </c>
      <c r="AE141" s="237">
        <f t="shared" si="42"/>
        <v>0</v>
      </c>
      <c r="AF141" s="236">
        <f t="shared" si="42"/>
        <v>0</v>
      </c>
      <c r="AG141" s="238"/>
      <c r="AH141" s="236">
        <f t="shared" si="43"/>
        <v>0</v>
      </c>
      <c r="AI141" s="237">
        <f t="shared" si="44"/>
        <v>0</v>
      </c>
      <c r="AJ141" s="236">
        <f t="shared" si="44"/>
        <v>0</v>
      </c>
      <c r="AK141" s="238"/>
      <c r="AL141" s="236">
        <f t="shared" si="45"/>
        <v>0</v>
      </c>
      <c r="AM141" s="237">
        <f t="shared" si="46"/>
        <v>0</v>
      </c>
      <c r="AN141" s="236">
        <f t="shared" si="46"/>
        <v>0</v>
      </c>
      <c r="AO141" s="240"/>
      <c r="AP141" s="236">
        <f t="shared" si="47"/>
        <v>0</v>
      </c>
    </row>
    <row r="142" spans="1:42" s="134" customFormat="1">
      <c r="A142" s="185"/>
      <c r="B142" s="188"/>
      <c r="C142" s="181"/>
      <c r="D142" s="182">
        <f>'[34]TAKE OFF sHEET'!F64</f>
        <v>0</v>
      </c>
      <c r="E142" s="187"/>
      <c r="F142" s="184"/>
      <c r="G142" s="242"/>
      <c r="H142" s="239"/>
      <c r="I142" s="238"/>
      <c r="J142" s="239"/>
      <c r="K142" s="238"/>
      <c r="L142" s="239"/>
      <c r="M142" s="238"/>
      <c r="N142" s="239"/>
      <c r="O142" s="238"/>
      <c r="P142" s="239"/>
      <c r="Q142" s="238"/>
      <c r="R142" s="239"/>
      <c r="S142" s="238"/>
      <c r="T142" s="236">
        <f t="shared" si="38"/>
        <v>0</v>
      </c>
      <c r="U142" s="238"/>
      <c r="V142" s="239"/>
      <c r="W142" s="238"/>
      <c r="X142" s="236">
        <f t="shared" si="39"/>
        <v>0</v>
      </c>
      <c r="Y142" s="238"/>
      <c r="Z142" s="239"/>
      <c r="AA142" s="237">
        <f t="shared" si="40"/>
        <v>0</v>
      </c>
      <c r="AB142" s="236">
        <f t="shared" si="40"/>
        <v>0</v>
      </c>
      <c r="AC142" s="238"/>
      <c r="AD142" s="236">
        <f t="shared" si="41"/>
        <v>0</v>
      </c>
      <c r="AE142" s="237">
        <f t="shared" si="42"/>
        <v>0</v>
      </c>
      <c r="AF142" s="236">
        <f t="shared" si="42"/>
        <v>0</v>
      </c>
      <c r="AG142" s="238"/>
      <c r="AH142" s="236">
        <f t="shared" si="43"/>
        <v>0</v>
      </c>
      <c r="AI142" s="237">
        <f t="shared" si="44"/>
        <v>0</v>
      </c>
      <c r="AJ142" s="236">
        <f t="shared" si="44"/>
        <v>0</v>
      </c>
      <c r="AK142" s="238"/>
      <c r="AL142" s="236">
        <f t="shared" si="45"/>
        <v>0</v>
      </c>
      <c r="AM142" s="237">
        <f t="shared" si="46"/>
        <v>0</v>
      </c>
      <c r="AN142" s="236">
        <f t="shared" si="46"/>
        <v>0</v>
      </c>
      <c r="AO142" s="240"/>
      <c r="AP142" s="236">
        <f t="shared" si="47"/>
        <v>0</v>
      </c>
    </row>
    <row r="143" spans="1:42" s="243" customFormat="1" ht="37.5">
      <c r="A143" s="185" t="s">
        <v>362</v>
      </c>
      <c r="B143" s="146" t="s">
        <v>363</v>
      </c>
      <c r="C143" s="186" t="s">
        <v>10</v>
      </c>
      <c r="D143" s="182">
        <f>'[34]TAKE OFF sHEET'!F65</f>
        <v>3</v>
      </c>
      <c r="E143" s="187">
        <v>92400</v>
      </c>
      <c r="F143" s="170">
        <f>D143*E143</f>
        <v>277200</v>
      </c>
      <c r="G143" s="242"/>
      <c r="H143" s="239"/>
      <c r="I143" s="238"/>
      <c r="J143" s="239"/>
      <c r="K143" s="238"/>
      <c r="L143" s="239"/>
      <c r="M143" s="238"/>
      <c r="N143" s="239"/>
      <c r="O143" s="238"/>
      <c r="P143" s="239"/>
      <c r="Q143" s="238"/>
      <c r="R143" s="239"/>
      <c r="S143" s="238"/>
      <c r="T143" s="236">
        <f t="shared" si="38"/>
        <v>0</v>
      </c>
      <c r="U143" s="238"/>
      <c r="V143" s="239"/>
      <c r="W143" s="238"/>
      <c r="X143" s="236">
        <f t="shared" si="39"/>
        <v>0</v>
      </c>
      <c r="Y143" s="238"/>
      <c r="Z143" s="239"/>
      <c r="AA143" s="237">
        <f t="shared" si="40"/>
        <v>0</v>
      </c>
      <c r="AB143" s="236">
        <f t="shared" si="40"/>
        <v>0</v>
      </c>
      <c r="AC143" s="238"/>
      <c r="AD143" s="236">
        <f t="shared" si="41"/>
        <v>0</v>
      </c>
      <c r="AE143" s="237">
        <f t="shared" si="42"/>
        <v>0</v>
      </c>
      <c r="AF143" s="236">
        <f t="shared" si="42"/>
        <v>0</v>
      </c>
      <c r="AG143" s="238"/>
      <c r="AH143" s="236">
        <f t="shared" si="43"/>
        <v>0</v>
      </c>
      <c r="AI143" s="237">
        <f t="shared" si="44"/>
        <v>0</v>
      </c>
      <c r="AJ143" s="236">
        <f t="shared" si="44"/>
        <v>0</v>
      </c>
      <c r="AK143" s="238"/>
      <c r="AL143" s="236">
        <f t="shared" si="45"/>
        <v>0</v>
      </c>
      <c r="AM143" s="237">
        <f t="shared" si="46"/>
        <v>0</v>
      </c>
      <c r="AN143" s="236">
        <f t="shared" si="46"/>
        <v>0</v>
      </c>
      <c r="AO143" s="240"/>
      <c r="AP143" s="236">
        <f t="shared" si="47"/>
        <v>0</v>
      </c>
    </row>
    <row r="144" spans="1:42" ht="13" thickBot="1">
      <c r="A144" s="6"/>
      <c r="B144" s="151"/>
      <c r="C144" s="116"/>
      <c r="D144" s="149"/>
      <c r="E144" s="150"/>
      <c r="F144" s="171"/>
    </row>
    <row r="145" spans="1:6" s="3" customFormat="1" ht="13" thickTop="1">
      <c r="A145" s="15"/>
      <c r="B145" s="10"/>
      <c r="C145" s="104"/>
      <c r="D145" s="119"/>
      <c r="E145" s="105"/>
      <c r="F145" s="80"/>
    </row>
    <row r="146" spans="1:6" s="3" customFormat="1" ht="13">
      <c r="A146" s="106"/>
      <c r="B146" s="107" t="s">
        <v>301</v>
      </c>
      <c r="C146" s="108"/>
      <c r="D146" s="120"/>
      <c r="E146" s="109"/>
      <c r="F146" s="75">
        <f>SUM(F65:F145)</f>
        <v>4946825</v>
      </c>
    </row>
    <row r="147" spans="1:6" s="3" customFormat="1" ht="13" thickBot="1">
      <c r="A147" s="12"/>
      <c r="B147" s="110"/>
      <c r="C147" s="111"/>
      <c r="D147" s="122"/>
      <c r="E147" s="112"/>
      <c r="F147" s="82"/>
    </row>
    <row r="148" spans="1:6" ht="13.5" thickTop="1">
      <c r="A148" s="197"/>
      <c r="B148" s="1544"/>
      <c r="C148" s="1544"/>
      <c r="D148" s="1544"/>
      <c r="E148" s="1544"/>
      <c r="F148" s="198"/>
    </row>
    <row r="149" spans="1:6" ht="12.75" customHeight="1">
      <c r="A149" s="1542" t="s">
        <v>261</v>
      </c>
      <c r="B149" s="1542"/>
      <c r="C149" s="1542"/>
      <c r="D149" s="1542"/>
      <c r="E149" s="1542"/>
      <c r="F149" s="1542"/>
    </row>
    <row r="150" spans="1:6" ht="13" thickBot="1">
      <c r="A150" s="9"/>
      <c r="D150" s="127"/>
      <c r="E150" s="128"/>
    </row>
    <row r="151" spans="1:6" ht="27" thickTop="1" thickBot="1">
      <c r="A151" s="13" t="s">
        <v>4</v>
      </c>
      <c r="B151" s="129" t="s">
        <v>5</v>
      </c>
      <c r="C151" s="129" t="s">
        <v>6</v>
      </c>
      <c r="D151" s="130" t="s">
        <v>1</v>
      </c>
      <c r="E151" s="131" t="s">
        <v>7</v>
      </c>
      <c r="F151" s="76" t="s">
        <v>8</v>
      </c>
    </row>
    <row r="152" spans="1:6" ht="13.5" thickTop="1">
      <c r="A152" s="18"/>
      <c r="B152" s="74"/>
      <c r="C152" s="74"/>
      <c r="D152" s="132"/>
      <c r="E152" s="133"/>
      <c r="F152" s="113"/>
    </row>
    <row r="153" spans="1:6" ht="26">
      <c r="A153" s="25"/>
      <c r="B153" s="148" t="s">
        <v>26</v>
      </c>
      <c r="C153" s="116"/>
      <c r="D153" s="149"/>
      <c r="E153" s="150"/>
      <c r="F153" s="171"/>
    </row>
    <row r="154" spans="1:6" ht="13">
      <c r="A154" s="25"/>
      <c r="B154" s="148"/>
      <c r="C154" s="116"/>
      <c r="D154" s="149"/>
      <c r="E154" s="150"/>
      <c r="F154" s="171"/>
    </row>
    <row r="155" spans="1:6" ht="13">
      <c r="A155" s="25"/>
      <c r="B155" s="190" t="s">
        <v>364</v>
      </c>
      <c r="C155" s="116"/>
      <c r="D155" s="149"/>
      <c r="E155" s="150"/>
      <c r="F155" s="171"/>
    </row>
    <row r="156" spans="1:6" ht="13">
      <c r="A156" s="6"/>
      <c r="B156" s="152" t="s">
        <v>365</v>
      </c>
      <c r="C156" s="116"/>
      <c r="D156" s="149"/>
      <c r="E156" s="150"/>
      <c r="F156" s="171"/>
    </row>
    <row r="157" spans="1:6">
      <c r="A157" s="6"/>
      <c r="B157" s="151"/>
      <c r="C157" s="116"/>
      <c r="D157" s="149"/>
      <c r="E157" s="150"/>
      <c r="F157" s="171"/>
    </row>
    <row r="158" spans="1:6" ht="25">
      <c r="A158" s="6" t="s">
        <v>366</v>
      </c>
      <c r="B158" s="199" t="s">
        <v>367</v>
      </c>
      <c r="C158" s="116" t="s">
        <v>10</v>
      </c>
      <c r="D158" s="149">
        <f>'[34]TAKE OFF sHEET'!B21</f>
        <v>3</v>
      </c>
      <c r="E158" s="150">
        <v>50000</v>
      </c>
      <c r="F158" s="171">
        <f>D158*E158</f>
        <v>150000</v>
      </c>
    </row>
    <row r="159" spans="1:6">
      <c r="A159" s="6"/>
      <c r="B159" s="151"/>
      <c r="C159" s="116"/>
      <c r="D159" s="149"/>
      <c r="E159" s="150"/>
      <c r="F159" s="171"/>
    </row>
    <row r="160" spans="1:6" ht="13">
      <c r="A160" s="6"/>
      <c r="B160" s="152" t="s">
        <v>368</v>
      </c>
      <c r="C160" s="116"/>
      <c r="D160" s="149"/>
      <c r="E160" s="150"/>
      <c r="F160" s="171"/>
    </row>
    <row r="161" spans="1:42">
      <c r="A161" s="6"/>
      <c r="B161" s="151"/>
      <c r="C161" s="116"/>
      <c r="D161" s="149"/>
      <c r="E161" s="150"/>
      <c r="F161" s="171"/>
    </row>
    <row r="162" spans="1:42">
      <c r="A162" s="6" t="s">
        <v>369</v>
      </c>
      <c r="B162" s="151" t="s">
        <v>370</v>
      </c>
      <c r="C162" s="116" t="s">
        <v>10</v>
      </c>
      <c r="D162" s="149">
        <f>'[34]TAKE OFF sHEET'!B19</f>
        <v>3</v>
      </c>
      <c r="E162" s="150">
        <v>100000</v>
      </c>
      <c r="F162" s="171">
        <f>D162*E162</f>
        <v>300000</v>
      </c>
    </row>
    <row r="163" spans="1:42">
      <c r="A163" s="6"/>
      <c r="B163" s="151"/>
      <c r="C163" s="116"/>
      <c r="D163" s="149"/>
      <c r="E163" s="150"/>
      <c r="F163" s="171"/>
    </row>
    <row r="164" spans="1:42" s="246" customFormat="1" ht="12.75" customHeight="1">
      <c r="A164" s="200" t="s">
        <v>371</v>
      </c>
      <c r="B164" s="201" t="s">
        <v>372</v>
      </c>
      <c r="C164" s="202"/>
      <c r="D164" s="102"/>
      <c r="E164" s="102"/>
      <c r="F164" s="203"/>
    </row>
    <row r="165" spans="1:42" s="247" customFormat="1" ht="11.25" customHeight="1">
      <c r="A165" s="204"/>
      <c r="B165" s="205"/>
      <c r="C165" s="206"/>
      <c r="D165" s="207"/>
      <c r="E165" s="207"/>
      <c r="F165" s="208"/>
    </row>
    <row r="166" spans="1:42" s="247" customFormat="1" ht="30.75" customHeight="1">
      <c r="A166" s="204" t="s">
        <v>373</v>
      </c>
      <c r="B166" s="205" t="s">
        <v>374</v>
      </c>
      <c r="C166" s="209" t="s">
        <v>43</v>
      </c>
      <c r="D166" s="207">
        <v>1</v>
      </c>
      <c r="E166" s="207">
        <v>300000</v>
      </c>
      <c r="F166" s="208">
        <f>+D166*E166</f>
        <v>300000</v>
      </c>
    </row>
    <row r="167" spans="1:42" s="249" customFormat="1">
      <c r="A167" s="41"/>
      <c r="B167" s="205"/>
      <c r="C167" s="99"/>
      <c r="D167" s="114"/>
      <c r="E167" s="114"/>
      <c r="F167" s="210"/>
      <c r="G167" s="248"/>
    </row>
    <row r="168" spans="1:42" s="134" customFormat="1">
      <c r="A168" s="185" t="s">
        <v>375</v>
      </c>
      <c r="B168" s="146" t="s">
        <v>376</v>
      </c>
      <c r="C168" s="186" t="s">
        <v>10</v>
      </c>
      <c r="D168" s="182">
        <v>1</v>
      </c>
      <c r="E168" s="187">
        <v>56250</v>
      </c>
      <c r="F168" s="170">
        <f>D168*E168</f>
        <v>56250</v>
      </c>
      <c r="G168" s="242"/>
      <c r="H168" s="239"/>
      <c r="I168" s="238"/>
      <c r="J168" s="239"/>
      <c r="K168" s="238"/>
      <c r="L168" s="239"/>
      <c r="M168" s="238"/>
      <c r="N168" s="239"/>
      <c r="O168" s="238"/>
      <c r="P168" s="239"/>
      <c r="Q168" s="238"/>
      <c r="R168" s="239"/>
      <c r="S168" s="238"/>
      <c r="T168" s="236">
        <f>R168+P168</f>
        <v>0</v>
      </c>
      <c r="U168" s="238"/>
      <c r="V168" s="239"/>
      <c r="W168" s="238"/>
      <c r="X168" s="236">
        <f>V168+T168</f>
        <v>0</v>
      </c>
      <c r="Y168" s="238"/>
      <c r="Z168" s="239"/>
      <c r="AA168" s="237">
        <f>Y168+W168</f>
        <v>0</v>
      </c>
      <c r="AB168" s="236">
        <f>Z168+X168</f>
        <v>0</v>
      </c>
      <c r="AC168" s="238"/>
      <c r="AD168" s="236">
        <f>AC168*E168</f>
        <v>0</v>
      </c>
      <c r="AE168" s="237">
        <f>AC168+AA168</f>
        <v>0</v>
      </c>
      <c r="AF168" s="236">
        <f>AD168+AB168</f>
        <v>0</v>
      </c>
      <c r="AG168" s="238"/>
      <c r="AH168" s="236">
        <f>AG168*E168</f>
        <v>0</v>
      </c>
      <c r="AI168" s="237">
        <f>AG168+AE168</f>
        <v>0</v>
      </c>
      <c r="AJ168" s="236">
        <f>AH168+AF168</f>
        <v>0</v>
      </c>
      <c r="AK168" s="238"/>
      <c r="AL168" s="236">
        <f>AK168*E168</f>
        <v>0</v>
      </c>
      <c r="AM168" s="237">
        <f>AK168+AI168</f>
        <v>0</v>
      </c>
      <c r="AN168" s="236">
        <f>AL168+AJ168</f>
        <v>0</v>
      </c>
      <c r="AO168" s="240"/>
      <c r="AP168" s="236">
        <f>AO168*E168</f>
        <v>0</v>
      </c>
    </row>
    <row r="169" spans="1:42" s="134" customFormat="1">
      <c r="A169" s="185"/>
      <c r="B169" s="146"/>
      <c r="C169" s="186"/>
      <c r="D169" s="182"/>
      <c r="E169" s="187"/>
      <c r="F169" s="170"/>
      <c r="G169" s="242"/>
      <c r="H169" s="239"/>
      <c r="I169" s="238"/>
      <c r="J169" s="239"/>
      <c r="K169" s="238"/>
      <c r="L169" s="239"/>
      <c r="M169" s="238"/>
      <c r="N169" s="239"/>
      <c r="O169" s="238"/>
      <c r="P169" s="239"/>
      <c r="Q169" s="238"/>
      <c r="R169" s="239"/>
      <c r="S169" s="238"/>
      <c r="T169" s="236"/>
      <c r="U169" s="238"/>
      <c r="V169" s="239"/>
      <c r="W169" s="238"/>
      <c r="X169" s="236"/>
      <c r="Y169" s="238"/>
      <c r="Z169" s="239"/>
      <c r="AA169" s="237"/>
      <c r="AB169" s="236"/>
      <c r="AC169" s="238"/>
      <c r="AD169" s="236"/>
      <c r="AE169" s="237"/>
      <c r="AF169" s="236"/>
      <c r="AG169" s="238"/>
      <c r="AH169" s="236"/>
      <c r="AI169" s="237"/>
      <c r="AJ169" s="236"/>
      <c r="AK169" s="238"/>
      <c r="AL169" s="236"/>
      <c r="AM169" s="237"/>
      <c r="AN169" s="236"/>
      <c r="AO169" s="240"/>
      <c r="AP169" s="236"/>
    </row>
    <row r="170" spans="1:42" s="134" customFormat="1">
      <c r="A170" s="185" t="s">
        <v>377</v>
      </c>
      <c r="B170" s="211" t="s">
        <v>378</v>
      </c>
      <c r="C170" s="186" t="s">
        <v>10</v>
      </c>
      <c r="D170" s="182">
        <v>10</v>
      </c>
      <c r="E170" s="187">
        <v>6000</v>
      </c>
      <c r="F170" s="170">
        <f>D170*E170</f>
        <v>60000</v>
      </c>
      <c r="G170" s="242"/>
      <c r="H170" s="239"/>
      <c r="I170" s="238"/>
      <c r="J170" s="239"/>
      <c r="K170" s="238"/>
      <c r="L170" s="239"/>
      <c r="M170" s="238"/>
      <c r="N170" s="239"/>
      <c r="O170" s="238"/>
      <c r="P170" s="239"/>
      <c r="Q170" s="238"/>
      <c r="R170" s="239"/>
      <c r="S170" s="238"/>
      <c r="T170" s="236">
        <f>R170+P170</f>
        <v>0</v>
      </c>
      <c r="U170" s="238"/>
      <c r="V170" s="239"/>
      <c r="W170" s="238"/>
      <c r="X170" s="236">
        <f>V170+T170</f>
        <v>0</v>
      </c>
      <c r="Y170" s="238"/>
      <c r="Z170" s="239"/>
      <c r="AA170" s="237">
        <f t="shared" ref="AA170:AB172" si="48">Y170+W170</f>
        <v>0</v>
      </c>
      <c r="AB170" s="236">
        <f t="shared" si="48"/>
        <v>0</v>
      </c>
      <c r="AC170" s="238"/>
      <c r="AD170" s="236">
        <f>AC170*E170</f>
        <v>0</v>
      </c>
      <c r="AE170" s="237">
        <f t="shared" ref="AE170:AF172" si="49">AC170+AA170</f>
        <v>0</v>
      </c>
      <c r="AF170" s="236">
        <f t="shared" si="49"/>
        <v>0</v>
      </c>
      <c r="AG170" s="238"/>
      <c r="AH170" s="236">
        <f>AG170*E170</f>
        <v>0</v>
      </c>
      <c r="AI170" s="237">
        <f t="shared" ref="AI170:AJ172" si="50">AG170+AE170</f>
        <v>0</v>
      </c>
      <c r="AJ170" s="236">
        <f t="shared" si="50"/>
        <v>0</v>
      </c>
      <c r="AK170" s="238"/>
      <c r="AL170" s="236">
        <f>AK170*E170</f>
        <v>0</v>
      </c>
      <c r="AM170" s="237">
        <f t="shared" ref="AM170:AN172" si="51">AK170+AI170</f>
        <v>0</v>
      </c>
      <c r="AN170" s="236">
        <f t="shared" si="51"/>
        <v>0</v>
      </c>
      <c r="AO170" s="240"/>
      <c r="AP170" s="236">
        <f>AO170*E170</f>
        <v>0</v>
      </c>
    </row>
    <row r="171" spans="1:42" s="134" customFormat="1">
      <c r="A171" s="185"/>
      <c r="B171" s="211"/>
      <c r="C171" s="181"/>
      <c r="D171" s="182"/>
      <c r="E171" s="187"/>
      <c r="F171" s="184"/>
      <c r="G171" s="242"/>
      <c r="H171" s="239"/>
      <c r="I171" s="238"/>
      <c r="J171" s="239"/>
      <c r="K171" s="238"/>
      <c r="L171" s="239"/>
      <c r="M171" s="238"/>
      <c r="N171" s="239"/>
      <c r="O171" s="238"/>
      <c r="P171" s="239"/>
      <c r="Q171" s="238"/>
      <c r="R171" s="239"/>
      <c r="S171" s="238"/>
      <c r="T171" s="236">
        <f>R171+P171</f>
        <v>0</v>
      </c>
      <c r="U171" s="238"/>
      <c r="V171" s="239"/>
      <c r="W171" s="238"/>
      <c r="X171" s="236">
        <f>V171+T171</f>
        <v>0</v>
      </c>
      <c r="Y171" s="238"/>
      <c r="Z171" s="239"/>
      <c r="AA171" s="237">
        <f t="shared" si="48"/>
        <v>0</v>
      </c>
      <c r="AB171" s="236">
        <f t="shared" si="48"/>
        <v>0</v>
      </c>
      <c r="AC171" s="238"/>
      <c r="AD171" s="236">
        <f>AC171*E171</f>
        <v>0</v>
      </c>
      <c r="AE171" s="237">
        <f t="shared" si="49"/>
        <v>0</v>
      </c>
      <c r="AF171" s="236">
        <f t="shared" si="49"/>
        <v>0</v>
      </c>
      <c r="AG171" s="238"/>
      <c r="AH171" s="236">
        <f>AG171*E171</f>
        <v>0</v>
      </c>
      <c r="AI171" s="237">
        <f t="shared" si="50"/>
        <v>0</v>
      </c>
      <c r="AJ171" s="236">
        <f t="shared" si="50"/>
        <v>0</v>
      </c>
      <c r="AK171" s="238"/>
      <c r="AL171" s="236">
        <f>AK171*E171</f>
        <v>0</v>
      </c>
      <c r="AM171" s="237">
        <f t="shared" si="51"/>
        <v>0</v>
      </c>
      <c r="AN171" s="236">
        <f t="shared" si="51"/>
        <v>0</v>
      </c>
      <c r="AO171" s="240"/>
      <c r="AP171" s="236">
        <f>AO171*E171</f>
        <v>0</v>
      </c>
    </row>
    <row r="172" spans="1:42" s="134" customFormat="1">
      <c r="A172" s="185" t="s">
        <v>379</v>
      </c>
      <c r="B172" s="211" t="s">
        <v>380</v>
      </c>
      <c r="C172" s="186" t="s">
        <v>10</v>
      </c>
      <c r="D172" s="182">
        <v>5</v>
      </c>
      <c r="E172" s="187">
        <v>9000</v>
      </c>
      <c r="F172" s="170">
        <f>D172*E172</f>
        <v>45000</v>
      </c>
      <c r="G172" s="242"/>
      <c r="H172" s="239"/>
      <c r="I172" s="238"/>
      <c r="J172" s="239"/>
      <c r="K172" s="238"/>
      <c r="L172" s="239"/>
      <c r="M172" s="238"/>
      <c r="N172" s="239"/>
      <c r="O172" s="238"/>
      <c r="P172" s="239"/>
      <c r="Q172" s="238"/>
      <c r="R172" s="239"/>
      <c r="S172" s="238"/>
      <c r="T172" s="236">
        <f>R172+P172</f>
        <v>0</v>
      </c>
      <c r="U172" s="238"/>
      <c r="V172" s="239"/>
      <c r="W172" s="238"/>
      <c r="X172" s="236">
        <f>V172+T172</f>
        <v>0</v>
      </c>
      <c r="Y172" s="238"/>
      <c r="Z172" s="239"/>
      <c r="AA172" s="237">
        <f t="shared" si="48"/>
        <v>0</v>
      </c>
      <c r="AB172" s="236">
        <f t="shared" si="48"/>
        <v>0</v>
      </c>
      <c r="AC172" s="238"/>
      <c r="AD172" s="236">
        <f>AC172*E172</f>
        <v>0</v>
      </c>
      <c r="AE172" s="237">
        <f t="shared" si="49"/>
        <v>0</v>
      </c>
      <c r="AF172" s="236">
        <f t="shared" si="49"/>
        <v>0</v>
      </c>
      <c r="AG172" s="238"/>
      <c r="AH172" s="236">
        <f>AG172*E172</f>
        <v>0</v>
      </c>
      <c r="AI172" s="237">
        <f t="shared" si="50"/>
        <v>0</v>
      </c>
      <c r="AJ172" s="236">
        <f t="shared" si="50"/>
        <v>0</v>
      </c>
      <c r="AK172" s="238"/>
      <c r="AL172" s="236">
        <f>AK172*E172</f>
        <v>0</v>
      </c>
      <c r="AM172" s="237">
        <f t="shared" si="51"/>
        <v>0</v>
      </c>
      <c r="AN172" s="236">
        <f t="shared" si="51"/>
        <v>0</v>
      </c>
      <c r="AO172" s="240"/>
      <c r="AP172" s="236">
        <f>AO172*E172</f>
        <v>0</v>
      </c>
    </row>
    <row r="173" spans="1:42" s="134" customFormat="1">
      <c r="A173" s="185"/>
      <c r="B173" s="211"/>
      <c r="C173" s="186"/>
      <c r="D173" s="182"/>
      <c r="E173" s="187"/>
      <c r="F173" s="170"/>
      <c r="G173" s="242"/>
      <c r="H173" s="239"/>
      <c r="I173" s="238"/>
      <c r="J173" s="239"/>
      <c r="K173" s="238"/>
      <c r="L173" s="239"/>
      <c r="M173" s="238"/>
      <c r="N173" s="239"/>
      <c r="O173" s="238"/>
      <c r="P173" s="239"/>
      <c r="Q173" s="238"/>
      <c r="R173" s="239"/>
      <c r="S173" s="238"/>
      <c r="T173" s="236"/>
      <c r="U173" s="238"/>
      <c r="V173" s="239"/>
      <c r="W173" s="238"/>
      <c r="X173" s="236"/>
      <c r="Y173" s="238"/>
      <c r="Z173" s="239"/>
      <c r="AA173" s="237"/>
      <c r="AB173" s="236"/>
      <c r="AC173" s="238"/>
      <c r="AD173" s="236"/>
      <c r="AE173" s="237"/>
      <c r="AF173" s="236"/>
      <c r="AG173" s="238"/>
      <c r="AH173" s="236"/>
      <c r="AI173" s="237"/>
      <c r="AJ173" s="236"/>
      <c r="AK173" s="238"/>
      <c r="AL173" s="236"/>
      <c r="AM173" s="237"/>
      <c r="AN173" s="236"/>
      <c r="AO173" s="240"/>
      <c r="AP173" s="236"/>
    </row>
    <row r="174" spans="1:42" s="134" customFormat="1" ht="25">
      <c r="A174" s="185" t="s">
        <v>381</v>
      </c>
      <c r="B174" s="211" t="s">
        <v>382</v>
      </c>
      <c r="C174" s="186" t="s">
        <v>10</v>
      </c>
      <c r="D174" s="182">
        <v>5</v>
      </c>
      <c r="E174" s="187">
        <v>10000</v>
      </c>
      <c r="F174" s="170">
        <f>D174*E174</f>
        <v>50000</v>
      </c>
      <c r="G174" s="242"/>
      <c r="H174" s="239"/>
      <c r="I174" s="238"/>
      <c r="J174" s="239"/>
      <c r="K174" s="238"/>
      <c r="L174" s="239"/>
      <c r="M174" s="238"/>
      <c r="N174" s="239"/>
      <c r="O174" s="238"/>
      <c r="P174" s="239"/>
      <c r="Q174" s="238"/>
      <c r="R174" s="239"/>
      <c r="S174" s="238"/>
      <c r="T174" s="236">
        <f>R174+P174</f>
        <v>0</v>
      </c>
      <c r="U174" s="238"/>
      <c r="V174" s="239"/>
      <c r="W174" s="238"/>
      <c r="X174" s="236">
        <f>V174+T174</f>
        <v>0</v>
      </c>
      <c r="Y174" s="238"/>
      <c r="Z174" s="239"/>
      <c r="AA174" s="237">
        <f>Y174+W174</f>
        <v>0</v>
      </c>
      <c r="AB174" s="236">
        <f>Z174+X174</f>
        <v>0</v>
      </c>
      <c r="AC174" s="238"/>
      <c r="AD174" s="236">
        <f>AC174*E174</f>
        <v>0</v>
      </c>
      <c r="AE174" s="237">
        <f>AC174+AA174</f>
        <v>0</v>
      </c>
      <c r="AF174" s="236">
        <f>AD174+AB174</f>
        <v>0</v>
      </c>
      <c r="AG174" s="238"/>
      <c r="AH174" s="236">
        <f>AG174*E174</f>
        <v>0</v>
      </c>
      <c r="AI174" s="237">
        <f>AG174+AE174</f>
        <v>0</v>
      </c>
      <c r="AJ174" s="236">
        <f>AH174+AF174</f>
        <v>0</v>
      </c>
      <c r="AK174" s="238"/>
      <c r="AL174" s="236">
        <f>AK174*E174</f>
        <v>0</v>
      </c>
      <c r="AM174" s="237">
        <f>AK174+AI174</f>
        <v>0</v>
      </c>
      <c r="AN174" s="236">
        <f>AL174+AJ174</f>
        <v>0</v>
      </c>
      <c r="AO174" s="240"/>
      <c r="AP174" s="236">
        <f>AO174*E174</f>
        <v>0</v>
      </c>
    </row>
    <row r="175" spans="1:42" s="134" customFormat="1">
      <c r="A175" s="185"/>
      <c r="B175" s="211"/>
      <c r="C175" s="186"/>
      <c r="D175" s="182"/>
      <c r="E175" s="187"/>
      <c r="F175" s="170"/>
      <c r="G175" s="242"/>
      <c r="H175" s="239"/>
      <c r="I175" s="238"/>
      <c r="J175" s="239"/>
      <c r="K175" s="238"/>
      <c r="L175" s="239"/>
      <c r="M175" s="238"/>
      <c r="N175" s="239"/>
      <c r="O175" s="238"/>
      <c r="P175" s="239"/>
      <c r="Q175" s="238"/>
      <c r="R175" s="239"/>
      <c r="S175" s="238"/>
      <c r="T175" s="236"/>
      <c r="U175" s="238"/>
      <c r="V175" s="239"/>
      <c r="W175" s="238"/>
      <c r="X175" s="236"/>
      <c r="Y175" s="238"/>
      <c r="Z175" s="239"/>
      <c r="AA175" s="237"/>
      <c r="AB175" s="236"/>
      <c r="AC175" s="238"/>
      <c r="AD175" s="236"/>
      <c r="AE175" s="237"/>
      <c r="AF175" s="236"/>
      <c r="AG175" s="238"/>
      <c r="AH175" s="236"/>
      <c r="AI175" s="237"/>
      <c r="AJ175" s="236"/>
      <c r="AK175" s="238"/>
      <c r="AL175" s="236"/>
      <c r="AM175" s="237"/>
      <c r="AN175" s="236"/>
      <c r="AO175" s="240"/>
      <c r="AP175" s="236"/>
    </row>
    <row r="176" spans="1:42" s="134" customFormat="1" ht="25">
      <c r="A176" s="185" t="s">
        <v>383</v>
      </c>
      <c r="B176" s="211" t="s">
        <v>384</v>
      </c>
      <c r="C176" s="186" t="s">
        <v>10</v>
      </c>
      <c r="D176" s="182">
        <v>15</v>
      </c>
      <c r="E176" s="187">
        <v>10000</v>
      </c>
      <c r="F176" s="170">
        <f>D176*E176</f>
        <v>150000</v>
      </c>
      <c r="G176" s="242"/>
      <c r="H176" s="239"/>
      <c r="I176" s="238"/>
      <c r="J176" s="239"/>
      <c r="K176" s="238"/>
      <c r="L176" s="239"/>
      <c r="M176" s="238"/>
      <c r="N176" s="239"/>
      <c r="O176" s="238"/>
      <c r="P176" s="239"/>
      <c r="Q176" s="238"/>
      <c r="R176" s="239"/>
      <c r="S176" s="238"/>
      <c r="T176" s="236">
        <f>R176+P176</f>
        <v>0</v>
      </c>
      <c r="U176" s="238"/>
      <c r="V176" s="239"/>
      <c r="W176" s="238"/>
      <c r="X176" s="236">
        <f>V176+T176</f>
        <v>0</v>
      </c>
      <c r="Y176" s="238"/>
      <c r="Z176" s="239"/>
      <c r="AA176" s="237">
        <f>Y176+W176</f>
        <v>0</v>
      </c>
      <c r="AB176" s="236">
        <f>Z176+X176</f>
        <v>0</v>
      </c>
      <c r="AC176" s="238"/>
      <c r="AD176" s="236">
        <f>AC176*E176</f>
        <v>0</v>
      </c>
      <c r="AE176" s="237">
        <f>AC176+AA176</f>
        <v>0</v>
      </c>
      <c r="AF176" s="236">
        <f>AD176+AB176</f>
        <v>0</v>
      </c>
      <c r="AG176" s="238"/>
      <c r="AH176" s="236">
        <f>AG176*E176</f>
        <v>0</v>
      </c>
      <c r="AI176" s="237">
        <f>AG176+AE176</f>
        <v>0</v>
      </c>
      <c r="AJ176" s="236">
        <f>AH176+AF176</f>
        <v>0</v>
      </c>
      <c r="AK176" s="238"/>
      <c r="AL176" s="236">
        <f>AK176*E176</f>
        <v>0</v>
      </c>
      <c r="AM176" s="237">
        <f>AK176+AI176</f>
        <v>0</v>
      </c>
      <c r="AN176" s="236">
        <f>AL176+AJ176</f>
        <v>0</v>
      </c>
      <c r="AO176" s="240"/>
      <c r="AP176" s="236">
        <f>AO176*E176</f>
        <v>0</v>
      </c>
    </row>
    <row r="177" spans="1:42" s="134" customFormat="1">
      <c r="A177" s="185"/>
      <c r="B177" s="211"/>
      <c r="C177" s="181"/>
      <c r="D177" s="182"/>
      <c r="E177" s="187"/>
      <c r="F177" s="184"/>
      <c r="G177" s="242"/>
      <c r="H177" s="239"/>
      <c r="I177" s="238"/>
      <c r="J177" s="239"/>
      <c r="K177" s="238"/>
      <c r="L177" s="239"/>
      <c r="M177" s="238"/>
      <c r="N177" s="239"/>
      <c r="O177" s="238"/>
      <c r="P177" s="239"/>
      <c r="Q177" s="238"/>
      <c r="R177" s="239"/>
      <c r="S177" s="238"/>
      <c r="T177" s="236">
        <f>R177+P177</f>
        <v>0</v>
      </c>
      <c r="U177" s="238"/>
      <c r="V177" s="239"/>
      <c r="W177" s="238"/>
      <c r="X177" s="236">
        <f>V177+T177</f>
        <v>0</v>
      </c>
      <c r="Y177" s="238"/>
      <c r="Z177" s="239"/>
      <c r="AA177" s="237">
        <f>Y177+W177</f>
        <v>0</v>
      </c>
      <c r="AB177" s="236">
        <f>Z177+X177</f>
        <v>0</v>
      </c>
      <c r="AC177" s="238"/>
      <c r="AD177" s="236">
        <f>AC177*E177</f>
        <v>0</v>
      </c>
      <c r="AE177" s="237">
        <f>AC177+AA177</f>
        <v>0</v>
      </c>
      <c r="AF177" s="236">
        <f>AD177+AB177</f>
        <v>0</v>
      </c>
      <c r="AG177" s="238"/>
      <c r="AH177" s="236">
        <f>AG177*E177</f>
        <v>0</v>
      </c>
      <c r="AI177" s="237">
        <f>AG177+AE177</f>
        <v>0</v>
      </c>
      <c r="AJ177" s="236">
        <f>AH177+AF177</f>
        <v>0</v>
      </c>
      <c r="AK177" s="238"/>
      <c r="AL177" s="236">
        <f>AK177*E177</f>
        <v>0</v>
      </c>
      <c r="AM177" s="237">
        <f>AK177+AI177</f>
        <v>0</v>
      </c>
      <c r="AN177" s="236">
        <f>AL177+AJ177</f>
        <v>0</v>
      </c>
      <c r="AO177" s="240"/>
      <c r="AP177" s="236">
        <f>AO177*E177</f>
        <v>0</v>
      </c>
    </row>
    <row r="178" spans="1:42" s="246" customFormat="1" ht="12.75" customHeight="1">
      <c r="A178" s="212"/>
      <c r="B178" s="213" t="s">
        <v>385</v>
      </c>
      <c r="C178" s="209"/>
      <c r="D178" s="16"/>
      <c r="E178" s="214"/>
      <c r="F178" s="52"/>
    </row>
    <row r="179" spans="1:42" s="246" customFormat="1" ht="12.75" customHeight="1">
      <c r="A179" s="212"/>
      <c r="B179" s="215"/>
      <c r="C179" s="209"/>
      <c r="D179" s="16"/>
      <c r="E179" s="214"/>
      <c r="F179" s="52"/>
    </row>
    <row r="180" spans="1:42" s="249" customFormat="1" ht="37.5">
      <c r="A180" s="216"/>
      <c r="B180" s="205" t="s">
        <v>386</v>
      </c>
      <c r="C180" s="99"/>
      <c r="D180" s="114"/>
      <c r="E180" s="114"/>
      <c r="F180" s="210"/>
      <c r="G180" s="248"/>
    </row>
    <row r="181" spans="1:42" s="247" customFormat="1" ht="12.75" customHeight="1">
      <c r="A181" s="204"/>
      <c r="B181" s="205"/>
      <c r="C181" s="209"/>
      <c r="D181" s="207"/>
      <c r="E181" s="207"/>
      <c r="F181" s="208"/>
    </row>
    <row r="182" spans="1:42" s="249" customFormat="1" ht="25">
      <c r="A182" s="41" t="s">
        <v>387</v>
      </c>
      <c r="B182" s="205" t="s">
        <v>388</v>
      </c>
      <c r="C182" s="99" t="s">
        <v>9</v>
      </c>
      <c r="D182" s="114">
        <v>20</v>
      </c>
      <c r="E182" s="114">
        <v>178500</v>
      </c>
      <c r="F182" s="210">
        <f>D182*E182</f>
        <v>3570000</v>
      </c>
      <c r="G182" s="248"/>
    </row>
    <row r="183" spans="1:42" s="246" customFormat="1" ht="12.75" customHeight="1">
      <c r="A183" s="217"/>
      <c r="B183" s="215"/>
      <c r="C183" s="209"/>
      <c r="D183" s="102"/>
      <c r="E183" s="214"/>
      <c r="F183" s="51"/>
    </row>
    <row r="184" spans="1:42" s="249" customFormat="1" ht="12.75" customHeight="1">
      <c r="A184" s="41" t="s">
        <v>389</v>
      </c>
      <c r="B184" s="218" t="s">
        <v>390</v>
      </c>
      <c r="C184" s="219" t="s">
        <v>2</v>
      </c>
      <c r="D184" s="16">
        <f>D182*0.4*1</f>
        <v>8</v>
      </c>
      <c r="E184" s="220">
        <v>80000</v>
      </c>
      <c r="F184" s="210">
        <f>D184*E184</f>
        <v>640000</v>
      </c>
      <c r="H184" s="249">
        <f>+(17)*1.5*1.5*0.1</f>
        <v>3.8250000000000002</v>
      </c>
    </row>
    <row r="185" spans="1:42" s="249" customFormat="1" ht="12.75" customHeight="1">
      <c r="A185" s="7"/>
      <c r="B185" s="218"/>
      <c r="C185" s="219"/>
      <c r="D185" s="16"/>
      <c r="E185" s="220"/>
      <c r="F185" s="210"/>
    </row>
    <row r="186" spans="1:42" ht="13">
      <c r="A186" s="6"/>
      <c r="B186" s="176" t="s">
        <v>391</v>
      </c>
      <c r="C186" s="116"/>
      <c r="D186" s="149"/>
      <c r="E186" s="150"/>
      <c r="F186" s="171"/>
    </row>
    <row r="187" spans="1:42">
      <c r="A187" s="6"/>
      <c r="B187" s="151"/>
      <c r="C187" s="116"/>
      <c r="D187" s="149"/>
      <c r="E187" s="150"/>
      <c r="F187" s="171"/>
    </row>
    <row r="188" spans="1:42" ht="26">
      <c r="A188" s="6"/>
      <c r="B188" s="152" t="s">
        <v>392</v>
      </c>
      <c r="C188" s="116"/>
      <c r="D188" s="149"/>
      <c r="E188" s="150"/>
      <c r="F188" s="171"/>
    </row>
    <row r="189" spans="1:42">
      <c r="A189" s="6"/>
      <c r="B189" s="151"/>
      <c r="C189" s="116"/>
      <c r="D189" s="149"/>
      <c r="E189" s="150"/>
      <c r="F189" s="171"/>
    </row>
    <row r="190" spans="1:42" ht="25">
      <c r="A190" s="6" t="s">
        <v>393</v>
      </c>
      <c r="B190" s="151" t="s">
        <v>394</v>
      </c>
      <c r="C190" s="116" t="s">
        <v>9</v>
      </c>
      <c r="D190" s="149">
        <v>20</v>
      </c>
      <c r="E190" s="150">
        <v>7000</v>
      </c>
      <c r="F190" s="171">
        <f>D190*E190</f>
        <v>140000</v>
      </c>
    </row>
    <row r="191" spans="1:42">
      <c r="A191" s="6"/>
      <c r="B191" s="151"/>
      <c r="C191" s="116"/>
      <c r="D191" s="149"/>
      <c r="E191" s="150"/>
      <c r="F191" s="171"/>
    </row>
    <row r="192" spans="1:42" ht="25">
      <c r="A192" s="6" t="s">
        <v>395</v>
      </c>
      <c r="B192" s="151" t="s">
        <v>396</v>
      </c>
      <c r="C192" s="116" t="s">
        <v>9</v>
      </c>
      <c r="D192" s="149">
        <f>20*10</f>
        <v>200</v>
      </c>
      <c r="E192" s="150">
        <v>3000</v>
      </c>
      <c r="F192" s="171">
        <f>D192*E192</f>
        <v>600000</v>
      </c>
    </row>
    <row r="193" spans="1:42">
      <c r="A193" s="5"/>
      <c r="B193" s="85"/>
      <c r="C193" s="57"/>
      <c r="D193" s="138"/>
      <c r="E193" s="118"/>
      <c r="F193" s="221"/>
    </row>
    <row r="194" spans="1:42" ht="13">
      <c r="A194" s="5"/>
      <c r="B194" s="222" t="s">
        <v>397</v>
      </c>
      <c r="C194" s="57"/>
      <c r="D194" s="138"/>
      <c r="E194" s="118"/>
      <c r="F194" s="221"/>
    </row>
    <row r="195" spans="1:42">
      <c r="A195" s="5"/>
      <c r="B195" s="85"/>
      <c r="C195" s="57"/>
      <c r="D195" s="138"/>
      <c r="E195" s="118"/>
      <c r="F195" s="221"/>
    </row>
    <row r="196" spans="1:42" ht="26">
      <c r="A196" s="5"/>
      <c r="B196" s="88" t="s">
        <v>398</v>
      </c>
      <c r="C196" s="57"/>
      <c r="D196" s="138"/>
      <c r="E196" s="118"/>
      <c r="F196" s="221"/>
    </row>
    <row r="197" spans="1:42" ht="13">
      <c r="A197" s="5"/>
      <c r="B197" s="222"/>
      <c r="C197" s="57"/>
      <c r="D197" s="138"/>
      <c r="E197" s="118"/>
      <c r="F197" s="221"/>
    </row>
    <row r="198" spans="1:42">
      <c r="A198" s="5" t="s">
        <v>399</v>
      </c>
      <c r="B198" s="85" t="s">
        <v>400</v>
      </c>
      <c r="C198" s="57" t="s">
        <v>10</v>
      </c>
      <c r="D198" s="138">
        <f>D14/500</f>
        <v>10.039999999999999</v>
      </c>
      <c r="E198" s="118">
        <v>3000</v>
      </c>
      <c r="F198" s="171">
        <f>D198*E198</f>
        <v>30119.999999999996</v>
      </c>
    </row>
    <row r="199" spans="1:42" ht="13">
      <c r="A199" s="5"/>
      <c r="B199" s="222"/>
      <c r="C199" s="57"/>
      <c r="D199" s="138"/>
      <c r="E199" s="118"/>
      <c r="F199" s="171"/>
    </row>
    <row r="200" spans="1:42">
      <c r="A200" s="5" t="s">
        <v>401</v>
      </c>
      <c r="B200" s="85" t="s">
        <v>402</v>
      </c>
      <c r="C200" s="57" t="s">
        <v>10</v>
      </c>
      <c r="D200" s="138">
        <f>'[34]Rising Main'!D143</f>
        <v>3</v>
      </c>
      <c r="E200" s="118">
        <v>3000</v>
      </c>
      <c r="F200" s="171">
        <f>D200*E200</f>
        <v>9000</v>
      </c>
    </row>
    <row r="201" spans="1:42" ht="13">
      <c r="A201" s="5"/>
      <c r="B201" s="222"/>
      <c r="C201" s="57"/>
      <c r="D201" s="138"/>
      <c r="E201" s="118"/>
      <c r="F201" s="171"/>
    </row>
    <row r="202" spans="1:42">
      <c r="A202" s="5" t="s">
        <v>403</v>
      </c>
      <c r="B202" s="85" t="s">
        <v>404</v>
      </c>
      <c r="C202" s="57" t="s">
        <v>10</v>
      </c>
      <c r="D202" s="138">
        <f>'[34]TAKE OFF sHEET'!B19+'[34]TAKE OFF sHEET'!B17</f>
        <v>3</v>
      </c>
      <c r="E202" s="118">
        <v>3000</v>
      </c>
      <c r="F202" s="171">
        <f>D202*E202</f>
        <v>9000</v>
      </c>
    </row>
    <row r="203" spans="1:42" ht="13">
      <c r="A203" s="5"/>
      <c r="B203" s="222"/>
      <c r="C203" s="57"/>
      <c r="D203" s="138"/>
      <c r="E203" s="118"/>
      <c r="F203" s="171"/>
    </row>
    <row r="204" spans="1:42" ht="39">
      <c r="A204" s="1"/>
      <c r="B204" s="87" t="s">
        <v>28</v>
      </c>
      <c r="C204" s="57"/>
      <c r="D204" s="138"/>
      <c r="E204" s="118"/>
      <c r="F204" s="171"/>
    </row>
    <row r="205" spans="1:42">
      <c r="A205" s="5"/>
      <c r="B205" s="85"/>
      <c r="C205" s="57"/>
      <c r="D205" s="138"/>
      <c r="E205" s="118"/>
      <c r="F205" s="171"/>
    </row>
    <row r="206" spans="1:42" s="134" customFormat="1">
      <c r="A206" s="179"/>
      <c r="B206" s="190" t="s">
        <v>405</v>
      </c>
      <c r="C206" s="181"/>
      <c r="D206" s="182"/>
      <c r="E206" s="183"/>
      <c r="F206" s="166"/>
      <c r="G206" s="242"/>
      <c r="H206" s="239"/>
      <c r="I206" s="238"/>
      <c r="J206" s="239"/>
      <c r="K206" s="238"/>
      <c r="L206" s="239"/>
      <c r="M206" s="238"/>
      <c r="N206" s="239"/>
      <c r="O206" s="238"/>
      <c r="P206" s="239"/>
      <c r="Q206" s="238"/>
      <c r="R206" s="239"/>
      <c r="S206" s="238"/>
      <c r="T206" s="236"/>
      <c r="U206" s="238"/>
      <c r="V206" s="239"/>
      <c r="W206" s="238"/>
      <c r="X206" s="236"/>
      <c r="Y206" s="238"/>
      <c r="Z206" s="239"/>
      <c r="AA206" s="237">
        <f>Y206+W206</f>
        <v>0</v>
      </c>
      <c r="AB206" s="236"/>
      <c r="AC206" s="238"/>
      <c r="AD206" s="236">
        <f>AC206*E206</f>
        <v>0</v>
      </c>
      <c r="AE206" s="237">
        <f>AC206+AA206</f>
        <v>0</v>
      </c>
      <c r="AF206" s="236"/>
      <c r="AG206" s="238"/>
      <c r="AH206" s="236">
        <f>AG206*E206</f>
        <v>0</v>
      </c>
      <c r="AI206" s="237">
        <f>AG206+AE206</f>
        <v>0</v>
      </c>
      <c r="AJ206" s="236"/>
      <c r="AK206" s="238"/>
      <c r="AL206" s="236">
        <f>AK206*E206</f>
        <v>0</v>
      </c>
      <c r="AM206" s="237">
        <f>AK206+AI206</f>
        <v>0</v>
      </c>
      <c r="AN206" s="236"/>
      <c r="AO206" s="240"/>
      <c r="AP206" s="236">
        <f>AO206*E206</f>
        <v>0</v>
      </c>
    </row>
    <row r="207" spans="1:42" s="134" customFormat="1">
      <c r="A207" s="185"/>
      <c r="B207" s="188"/>
      <c r="C207" s="181"/>
      <c r="D207" s="182"/>
      <c r="E207" s="187"/>
      <c r="F207" s="184"/>
      <c r="G207" s="242"/>
      <c r="H207" s="239"/>
      <c r="I207" s="238"/>
      <c r="J207" s="239"/>
      <c r="K207" s="238"/>
      <c r="L207" s="239"/>
      <c r="M207" s="238"/>
      <c r="N207" s="239"/>
      <c r="O207" s="238"/>
      <c r="P207" s="239"/>
      <c r="Q207" s="238"/>
      <c r="R207" s="239"/>
      <c r="S207" s="238"/>
      <c r="T207" s="236"/>
      <c r="U207" s="238"/>
      <c r="V207" s="239"/>
      <c r="W207" s="238"/>
      <c r="X207" s="236"/>
      <c r="Y207" s="238"/>
      <c r="Z207" s="239"/>
      <c r="AA207" s="237">
        <f>Y207+W207</f>
        <v>0</v>
      </c>
      <c r="AB207" s="236"/>
      <c r="AC207" s="238"/>
      <c r="AD207" s="236">
        <f>AC207*E207</f>
        <v>0</v>
      </c>
      <c r="AE207" s="237">
        <f>AC207+AA207</f>
        <v>0</v>
      </c>
      <c r="AF207" s="236"/>
      <c r="AG207" s="238"/>
      <c r="AH207" s="236">
        <f>AG207*E207</f>
        <v>0</v>
      </c>
      <c r="AI207" s="237">
        <f>AG207+AE207</f>
        <v>0</v>
      </c>
      <c r="AJ207" s="236"/>
      <c r="AK207" s="238"/>
      <c r="AL207" s="236">
        <f>AK207*E207</f>
        <v>0</v>
      </c>
      <c r="AM207" s="237">
        <f>AK207+AI207</f>
        <v>0</v>
      </c>
      <c r="AN207" s="236"/>
      <c r="AO207" s="240"/>
      <c r="AP207" s="236">
        <f>AO207*E207</f>
        <v>0</v>
      </c>
    </row>
    <row r="208" spans="1:42" s="134" customFormat="1" ht="25">
      <c r="A208" s="185" t="s">
        <v>406</v>
      </c>
      <c r="B208" s="199" t="s">
        <v>407</v>
      </c>
      <c r="C208" s="186" t="s">
        <v>2</v>
      </c>
      <c r="D208" s="182">
        <f>D14*1*0.9*0.8</f>
        <v>3614.4</v>
      </c>
      <c r="E208" s="187">
        <v>2500</v>
      </c>
      <c r="F208" s="170">
        <f>D208*E208</f>
        <v>9036000</v>
      </c>
      <c r="G208" s="242"/>
      <c r="H208" s="239"/>
      <c r="I208" s="238"/>
      <c r="J208" s="239"/>
      <c r="K208" s="238"/>
      <c r="L208" s="239"/>
      <c r="M208" s="238"/>
      <c r="N208" s="239"/>
      <c r="O208" s="238">
        <v>400</v>
      </c>
      <c r="P208" s="239">
        <f>O208*E208</f>
        <v>1000000</v>
      </c>
      <c r="Q208" s="238">
        <v>0</v>
      </c>
      <c r="R208" s="239">
        <v>0</v>
      </c>
      <c r="S208" s="238">
        <f>Q208+O208</f>
        <v>400</v>
      </c>
      <c r="T208" s="236">
        <f>R208+P208</f>
        <v>1000000</v>
      </c>
      <c r="U208" s="238">
        <v>760</v>
      </c>
      <c r="V208" s="239">
        <f>U208*E208</f>
        <v>1900000</v>
      </c>
      <c r="W208" s="238">
        <f>U208+S208</f>
        <v>1160</v>
      </c>
      <c r="X208" s="236">
        <f>V208+T208</f>
        <v>2900000</v>
      </c>
      <c r="Y208" s="238"/>
      <c r="Z208" s="239">
        <f>Y208*I208</f>
        <v>0</v>
      </c>
      <c r="AA208" s="237">
        <f>Y208+W208</f>
        <v>1160</v>
      </c>
      <c r="AB208" s="236">
        <f>Z208+X208</f>
        <v>2900000</v>
      </c>
      <c r="AC208" s="238"/>
      <c r="AD208" s="236">
        <f>AC208*E208</f>
        <v>0</v>
      </c>
      <c r="AE208" s="237">
        <f>AC208+AA208</f>
        <v>1160</v>
      </c>
      <c r="AF208" s="236">
        <f>AD208+AB208</f>
        <v>2900000</v>
      </c>
      <c r="AG208" s="238"/>
      <c r="AH208" s="236">
        <f>AG208*E208</f>
        <v>0</v>
      </c>
      <c r="AI208" s="237">
        <f>AG208+AE208</f>
        <v>1160</v>
      </c>
      <c r="AJ208" s="236">
        <f>AH208+AF208</f>
        <v>2900000</v>
      </c>
      <c r="AK208" s="238"/>
      <c r="AL208" s="236">
        <f>AK208*E208</f>
        <v>0</v>
      </c>
      <c r="AM208" s="237">
        <f>AK208+AI208</f>
        <v>1160</v>
      </c>
      <c r="AN208" s="236">
        <f>AL208+AJ208</f>
        <v>2900000</v>
      </c>
      <c r="AO208" s="240"/>
      <c r="AP208" s="236">
        <f>AO208*E208</f>
        <v>0</v>
      </c>
    </row>
    <row r="209" spans="1:42" s="134" customFormat="1">
      <c r="A209" s="185"/>
      <c r="B209" s="199"/>
      <c r="C209" s="186"/>
      <c r="D209" s="182"/>
      <c r="E209" s="187"/>
      <c r="F209" s="170"/>
      <c r="G209" s="242"/>
      <c r="H209" s="239"/>
      <c r="I209" s="238"/>
      <c r="J209" s="239"/>
      <c r="K209" s="238"/>
      <c r="L209" s="239"/>
      <c r="M209" s="238"/>
      <c r="N209" s="239"/>
      <c r="O209" s="238"/>
      <c r="P209" s="239"/>
      <c r="Q209" s="238"/>
      <c r="R209" s="239"/>
      <c r="S209" s="238"/>
      <c r="T209" s="236"/>
      <c r="U209" s="238"/>
      <c r="V209" s="239"/>
      <c r="W209" s="238"/>
      <c r="X209" s="236"/>
      <c r="Y209" s="238"/>
      <c r="Z209" s="239"/>
      <c r="AA209" s="237"/>
      <c r="AB209" s="236"/>
      <c r="AC209" s="238"/>
      <c r="AD209" s="236"/>
      <c r="AE209" s="237"/>
      <c r="AF209" s="236"/>
      <c r="AG209" s="238"/>
      <c r="AH209" s="236"/>
      <c r="AI209" s="237"/>
      <c r="AJ209" s="236"/>
      <c r="AK209" s="238"/>
      <c r="AL209" s="236"/>
      <c r="AM209" s="237"/>
      <c r="AN209" s="236"/>
      <c r="AO209" s="240"/>
      <c r="AP209" s="236"/>
    </row>
    <row r="210" spans="1:42" s="134" customFormat="1" ht="25">
      <c r="A210" s="185" t="s">
        <v>408</v>
      </c>
      <c r="B210" s="199" t="s">
        <v>409</v>
      </c>
      <c r="C210" s="186" t="s">
        <v>2</v>
      </c>
      <c r="D210" s="182">
        <f>1.5*2*3*(D158+D162)</f>
        <v>54</v>
      </c>
      <c r="E210" s="187">
        <v>2500</v>
      </c>
      <c r="F210" s="170">
        <f>D210*E210</f>
        <v>135000</v>
      </c>
      <c r="G210" s="242"/>
      <c r="H210" s="239"/>
      <c r="I210" s="238"/>
      <c r="J210" s="239"/>
      <c r="K210" s="238"/>
      <c r="L210" s="239"/>
      <c r="M210" s="238"/>
      <c r="N210" s="239"/>
      <c r="O210" s="238">
        <v>400</v>
      </c>
      <c r="P210" s="239">
        <f>O210*E210</f>
        <v>1000000</v>
      </c>
      <c r="Q210" s="238">
        <v>0</v>
      </c>
      <c r="R210" s="239">
        <v>0</v>
      </c>
      <c r="S210" s="238">
        <f>Q210+O210</f>
        <v>400</v>
      </c>
      <c r="T210" s="236">
        <f>R210+P210</f>
        <v>1000000</v>
      </c>
      <c r="U210" s="238">
        <v>760</v>
      </c>
      <c r="V210" s="239">
        <f>U210*E210</f>
        <v>1900000</v>
      </c>
      <c r="W210" s="238">
        <f>U210+S210</f>
        <v>1160</v>
      </c>
      <c r="X210" s="236">
        <f>V210+T210</f>
        <v>2900000</v>
      </c>
      <c r="Y210" s="238"/>
      <c r="Z210" s="239">
        <f>Y210*I210</f>
        <v>0</v>
      </c>
      <c r="AA210" s="237">
        <f>Y210+W210</f>
        <v>1160</v>
      </c>
      <c r="AB210" s="236">
        <f>Z210+X210</f>
        <v>2900000</v>
      </c>
      <c r="AC210" s="238"/>
      <c r="AD210" s="236">
        <f>AC210*E210</f>
        <v>0</v>
      </c>
      <c r="AE210" s="237">
        <f>AC210+AA210</f>
        <v>1160</v>
      </c>
      <c r="AF210" s="236">
        <f>AD210+AB210</f>
        <v>2900000</v>
      </c>
      <c r="AG210" s="238"/>
      <c r="AH210" s="236">
        <f>AG210*E210</f>
        <v>0</v>
      </c>
      <c r="AI210" s="237">
        <f>AG210+AE210</f>
        <v>1160</v>
      </c>
      <c r="AJ210" s="236">
        <f>AH210+AF210</f>
        <v>2900000</v>
      </c>
      <c r="AK210" s="238"/>
      <c r="AL210" s="236">
        <f>AK210*E210</f>
        <v>0</v>
      </c>
      <c r="AM210" s="237">
        <f>AK210+AI210</f>
        <v>1160</v>
      </c>
      <c r="AN210" s="236">
        <f>AL210+AJ210</f>
        <v>2900000</v>
      </c>
      <c r="AO210" s="240"/>
      <c r="AP210" s="236">
        <f>AO210*E210</f>
        <v>0</v>
      </c>
    </row>
    <row r="211" spans="1:42">
      <c r="A211" s="5"/>
      <c r="B211" s="85"/>
      <c r="C211" s="57"/>
      <c r="D211" s="138"/>
      <c r="E211" s="118"/>
      <c r="F211" s="171"/>
    </row>
    <row r="212" spans="1:42" ht="13" thickBot="1">
      <c r="A212" s="5"/>
      <c r="B212" s="85"/>
      <c r="C212" s="57"/>
      <c r="D212" s="138"/>
      <c r="E212" s="118"/>
      <c r="F212" s="171"/>
    </row>
    <row r="213" spans="1:42" s="3" customFormat="1" ht="13" thickTop="1">
      <c r="A213" s="15"/>
      <c r="B213" s="10"/>
      <c r="C213" s="104"/>
      <c r="D213" s="119"/>
      <c r="E213" s="105"/>
      <c r="F213" s="80"/>
    </row>
    <row r="214" spans="1:42" s="3" customFormat="1" ht="13">
      <c r="A214" s="106"/>
      <c r="B214" s="107" t="s">
        <v>301</v>
      </c>
      <c r="C214" s="108"/>
      <c r="D214" s="120"/>
      <c r="E214" s="109"/>
      <c r="F214" s="75">
        <f>SUM(F152:F213)</f>
        <v>15280370</v>
      </c>
    </row>
    <row r="215" spans="1:42" s="3" customFormat="1" ht="13" thickBot="1">
      <c r="A215" s="12"/>
      <c r="B215" s="110"/>
      <c r="C215" s="111"/>
      <c r="D215" s="122"/>
      <c r="E215" s="112"/>
      <c r="F215" s="82"/>
    </row>
    <row r="216" spans="1:42" ht="13.5" thickTop="1">
      <c r="A216" s="197"/>
      <c r="B216" s="1544"/>
      <c r="C216" s="1544"/>
      <c r="D216" s="1544"/>
      <c r="E216" s="1544"/>
      <c r="F216" s="198"/>
    </row>
    <row r="217" spans="1:42" ht="12.75" customHeight="1">
      <c r="A217" s="1542" t="s">
        <v>261</v>
      </c>
      <c r="B217" s="1542"/>
      <c r="C217" s="1542"/>
      <c r="D217" s="1542"/>
      <c r="E217" s="1542"/>
      <c r="F217" s="1542"/>
    </row>
    <row r="218" spans="1:42" ht="13" thickBot="1">
      <c r="A218" s="9"/>
      <c r="D218" s="127"/>
      <c r="E218" s="128"/>
    </row>
    <row r="219" spans="1:42" ht="27" thickTop="1" thickBot="1">
      <c r="A219" s="13" t="s">
        <v>4</v>
      </c>
      <c r="B219" s="129" t="s">
        <v>5</v>
      </c>
      <c r="C219" s="129" t="s">
        <v>6</v>
      </c>
      <c r="D219" s="130" t="s">
        <v>1</v>
      </c>
      <c r="E219" s="131" t="s">
        <v>7</v>
      </c>
      <c r="F219" s="76" t="s">
        <v>8</v>
      </c>
    </row>
    <row r="220" spans="1:42" ht="13" thickTop="1">
      <c r="A220" s="6"/>
      <c r="B220" s="151"/>
      <c r="C220" s="116"/>
      <c r="D220" s="149"/>
      <c r="E220" s="150"/>
      <c r="F220" s="153"/>
    </row>
    <row r="221" spans="1:42" s="134" customFormat="1">
      <c r="A221" s="179"/>
      <c r="B221" s="190" t="s">
        <v>410</v>
      </c>
      <c r="C221" s="181"/>
      <c r="D221" s="182"/>
      <c r="E221" s="183"/>
      <c r="F221" s="166"/>
      <c r="G221" s="242"/>
      <c r="H221" s="239"/>
      <c r="I221" s="238"/>
      <c r="J221" s="239"/>
      <c r="K221" s="238"/>
      <c r="L221" s="239"/>
      <c r="M221" s="238"/>
      <c r="N221" s="239"/>
      <c r="O221" s="238"/>
      <c r="P221" s="239"/>
      <c r="Q221" s="238"/>
      <c r="R221" s="239"/>
      <c r="S221" s="238"/>
      <c r="T221" s="236">
        <f t="shared" ref="T221:T227" si="52">R221+P221</f>
        <v>0</v>
      </c>
      <c r="U221" s="238"/>
      <c r="V221" s="239"/>
      <c r="W221" s="238"/>
      <c r="X221" s="236">
        <f t="shared" ref="X221:X227" si="53">V221+T221</f>
        <v>0</v>
      </c>
      <c r="Y221" s="238"/>
      <c r="Z221" s="239"/>
      <c r="AA221" s="237">
        <f t="shared" ref="AA221:AB227" si="54">Y221+W221</f>
        <v>0</v>
      </c>
      <c r="AB221" s="236">
        <f t="shared" si="54"/>
        <v>0</v>
      </c>
      <c r="AC221" s="238"/>
      <c r="AD221" s="236">
        <f t="shared" ref="AD221:AD227" si="55">AC221*E221</f>
        <v>0</v>
      </c>
      <c r="AE221" s="237">
        <f t="shared" ref="AE221:AF227" si="56">AC221+AA221</f>
        <v>0</v>
      </c>
      <c r="AF221" s="236">
        <f t="shared" si="56"/>
        <v>0</v>
      </c>
      <c r="AG221" s="238"/>
      <c r="AH221" s="236">
        <f t="shared" ref="AH221:AH227" si="57">AG221*E221</f>
        <v>0</v>
      </c>
      <c r="AI221" s="237">
        <f t="shared" ref="AI221:AJ227" si="58">AG221+AE221</f>
        <v>0</v>
      </c>
      <c r="AJ221" s="236">
        <f t="shared" si="58"/>
        <v>0</v>
      </c>
      <c r="AK221" s="238"/>
      <c r="AL221" s="236">
        <f t="shared" ref="AL221:AL227" si="59">AK221*E221</f>
        <v>0</v>
      </c>
      <c r="AM221" s="237">
        <f t="shared" ref="AM221:AN227" si="60">AK221+AI221</f>
        <v>0</v>
      </c>
      <c r="AN221" s="236">
        <f t="shared" si="60"/>
        <v>0</v>
      </c>
      <c r="AO221" s="240"/>
      <c r="AP221" s="236">
        <f t="shared" ref="AP221:AP227" si="61">AO221*E221</f>
        <v>0</v>
      </c>
    </row>
    <row r="222" spans="1:42" s="134" customFormat="1">
      <c r="A222" s="185"/>
      <c r="B222" s="146"/>
      <c r="C222" s="181"/>
      <c r="D222" s="182"/>
      <c r="E222" s="183"/>
      <c r="F222" s="166"/>
      <c r="G222" s="242"/>
      <c r="H222" s="239"/>
      <c r="I222" s="238"/>
      <c r="J222" s="239"/>
      <c r="K222" s="238"/>
      <c r="L222" s="239"/>
      <c r="M222" s="238"/>
      <c r="N222" s="239"/>
      <c r="O222" s="238"/>
      <c r="P222" s="239"/>
      <c r="Q222" s="238"/>
      <c r="R222" s="239"/>
      <c r="S222" s="238"/>
      <c r="T222" s="236">
        <f t="shared" si="52"/>
        <v>0</v>
      </c>
      <c r="U222" s="238"/>
      <c r="V222" s="239"/>
      <c r="W222" s="238"/>
      <c r="X222" s="236">
        <f t="shared" si="53"/>
        <v>0</v>
      </c>
      <c r="Y222" s="238"/>
      <c r="Z222" s="239"/>
      <c r="AA222" s="237">
        <f t="shared" si="54"/>
        <v>0</v>
      </c>
      <c r="AB222" s="236">
        <f t="shared" si="54"/>
        <v>0</v>
      </c>
      <c r="AC222" s="238"/>
      <c r="AD222" s="236">
        <f t="shared" si="55"/>
        <v>0</v>
      </c>
      <c r="AE222" s="237">
        <f t="shared" si="56"/>
        <v>0</v>
      </c>
      <c r="AF222" s="236">
        <f t="shared" si="56"/>
        <v>0</v>
      </c>
      <c r="AG222" s="238"/>
      <c r="AH222" s="236">
        <f t="shared" si="57"/>
        <v>0</v>
      </c>
      <c r="AI222" s="237">
        <f t="shared" si="58"/>
        <v>0</v>
      </c>
      <c r="AJ222" s="236">
        <f t="shared" si="58"/>
        <v>0</v>
      </c>
      <c r="AK222" s="238"/>
      <c r="AL222" s="236">
        <f t="shared" si="59"/>
        <v>0</v>
      </c>
      <c r="AM222" s="237">
        <f t="shared" si="60"/>
        <v>0</v>
      </c>
      <c r="AN222" s="236">
        <f t="shared" si="60"/>
        <v>0</v>
      </c>
      <c r="AO222" s="240"/>
      <c r="AP222" s="236">
        <f t="shared" si="61"/>
        <v>0</v>
      </c>
    </row>
    <row r="223" spans="1:42" s="134" customFormat="1" ht="25">
      <c r="A223" s="185" t="s">
        <v>411</v>
      </c>
      <c r="B223" s="189" t="s">
        <v>412</v>
      </c>
      <c r="C223" s="186" t="s">
        <v>9</v>
      </c>
      <c r="D223" s="182">
        <v>4010</v>
      </c>
      <c r="E223" s="187">
        <v>505</v>
      </c>
      <c r="F223" s="170">
        <f>D223*E223</f>
        <v>2025050</v>
      </c>
      <c r="G223" s="242"/>
      <c r="H223" s="239"/>
      <c r="I223" s="238">
        <v>2000</v>
      </c>
      <c r="J223" s="239">
        <f>E223*I223</f>
        <v>1010000</v>
      </c>
      <c r="K223" s="238">
        <f>I223+G223</f>
        <v>2000</v>
      </c>
      <c r="L223" s="239">
        <f>J223+H223</f>
        <v>1010000</v>
      </c>
      <c r="M223" s="238">
        <v>5500</v>
      </c>
      <c r="N223" s="239">
        <f>M223*E223</f>
        <v>2777500</v>
      </c>
      <c r="O223" s="238">
        <f>M223+K223</f>
        <v>7500</v>
      </c>
      <c r="P223" s="239">
        <f>O223*E223</f>
        <v>3787500</v>
      </c>
      <c r="Q223" s="238">
        <v>1800</v>
      </c>
      <c r="R223" s="239">
        <f>Q223*E223</f>
        <v>909000</v>
      </c>
      <c r="S223" s="238">
        <f>Q223+O223</f>
        <v>9300</v>
      </c>
      <c r="T223" s="236">
        <f t="shared" si="52"/>
        <v>4696500</v>
      </c>
      <c r="U223" s="238"/>
      <c r="V223" s="239">
        <f>U223*I223</f>
        <v>0</v>
      </c>
      <c r="W223" s="238">
        <f>U223+S223</f>
        <v>9300</v>
      </c>
      <c r="X223" s="236">
        <f t="shared" si="53"/>
        <v>4696500</v>
      </c>
      <c r="Y223" s="238">
        <v>0</v>
      </c>
      <c r="Z223" s="239">
        <f>Y223*E223</f>
        <v>0</v>
      </c>
      <c r="AA223" s="237">
        <f t="shared" si="54"/>
        <v>9300</v>
      </c>
      <c r="AB223" s="236">
        <f t="shared" si="54"/>
        <v>4696500</v>
      </c>
      <c r="AC223" s="238"/>
      <c r="AD223" s="236">
        <f t="shared" si="55"/>
        <v>0</v>
      </c>
      <c r="AE223" s="237">
        <f t="shared" si="56"/>
        <v>9300</v>
      </c>
      <c r="AF223" s="236">
        <f t="shared" si="56"/>
        <v>4696500</v>
      </c>
      <c r="AG223" s="238"/>
      <c r="AH223" s="236">
        <f t="shared" si="57"/>
        <v>0</v>
      </c>
      <c r="AI223" s="237">
        <f t="shared" si="58"/>
        <v>9300</v>
      </c>
      <c r="AJ223" s="236">
        <f t="shared" si="58"/>
        <v>4696500</v>
      </c>
      <c r="AK223" s="238"/>
      <c r="AL223" s="236">
        <f t="shared" si="59"/>
        <v>0</v>
      </c>
      <c r="AM223" s="237">
        <f t="shared" si="60"/>
        <v>9300</v>
      </c>
      <c r="AN223" s="236">
        <f t="shared" si="60"/>
        <v>4696500</v>
      </c>
      <c r="AO223" s="240">
        <v>460</v>
      </c>
      <c r="AP223" s="236">
        <f t="shared" si="61"/>
        <v>232300</v>
      </c>
    </row>
    <row r="224" spans="1:42" s="134" customFormat="1">
      <c r="A224" s="185"/>
      <c r="B224" s="189"/>
      <c r="C224" s="181"/>
      <c r="D224" s="182"/>
      <c r="E224" s="183"/>
      <c r="F224" s="166"/>
      <c r="G224" s="242"/>
      <c r="H224" s="239"/>
      <c r="I224" s="238"/>
      <c r="J224" s="239"/>
      <c r="K224" s="238"/>
      <c r="L224" s="239"/>
      <c r="M224" s="238"/>
      <c r="N224" s="239"/>
      <c r="O224" s="238"/>
      <c r="P224" s="239"/>
      <c r="Q224" s="238"/>
      <c r="R224" s="239"/>
      <c r="S224" s="238"/>
      <c r="T224" s="236">
        <f t="shared" si="52"/>
        <v>0</v>
      </c>
      <c r="U224" s="238"/>
      <c r="V224" s="239"/>
      <c r="W224" s="238"/>
      <c r="X224" s="236">
        <f t="shared" si="53"/>
        <v>0</v>
      </c>
      <c r="Y224" s="238"/>
      <c r="Z224" s="239"/>
      <c r="AA224" s="237">
        <f t="shared" si="54"/>
        <v>0</v>
      </c>
      <c r="AB224" s="236">
        <f t="shared" si="54"/>
        <v>0</v>
      </c>
      <c r="AC224" s="238"/>
      <c r="AD224" s="236">
        <f t="shared" si="55"/>
        <v>0</v>
      </c>
      <c r="AE224" s="237">
        <f t="shared" si="56"/>
        <v>0</v>
      </c>
      <c r="AF224" s="236">
        <f t="shared" si="56"/>
        <v>0</v>
      </c>
      <c r="AG224" s="238"/>
      <c r="AH224" s="236">
        <f t="shared" si="57"/>
        <v>0</v>
      </c>
      <c r="AI224" s="237">
        <f t="shared" si="58"/>
        <v>0</v>
      </c>
      <c r="AJ224" s="236">
        <f t="shared" si="58"/>
        <v>0</v>
      </c>
      <c r="AK224" s="238"/>
      <c r="AL224" s="236">
        <f t="shared" si="59"/>
        <v>0</v>
      </c>
      <c r="AM224" s="237">
        <f t="shared" si="60"/>
        <v>0</v>
      </c>
      <c r="AN224" s="236">
        <f t="shared" si="60"/>
        <v>0</v>
      </c>
      <c r="AO224" s="240"/>
      <c r="AP224" s="236">
        <f t="shared" si="61"/>
        <v>0</v>
      </c>
    </row>
    <row r="225" spans="1:42" s="134" customFormat="1" ht="25">
      <c r="A225" s="185" t="s">
        <v>413</v>
      </c>
      <c r="B225" s="189" t="s">
        <v>414</v>
      </c>
      <c r="C225" s="186" t="s">
        <v>9</v>
      </c>
      <c r="D225" s="182">
        <v>1000</v>
      </c>
      <c r="E225" s="187">
        <v>1075</v>
      </c>
      <c r="F225" s="170">
        <f>D225*E225</f>
        <v>1075000</v>
      </c>
      <c r="G225" s="242"/>
      <c r="H225" s="239"/>
      <c r="I225" s="238"/>
      <c r="J225" s="239"/>
      <c r="K225" s="238"/>
      <c r="L225" s="239"/>
      <c r="M225" s="238"/>
      <c r="N225" s="239"/>
      <c r="O225" s="238"/>
      <c r="P225" s="239"/>
      <c r="Q225" s="238">
        <v>2080</v>
      </c>
      <c r="R225" s="239">
        <f>Q225*E225</f>
        <v>2236000</v>
      </c>
      <c r="S225" s="238">
        <f>Q225+O225</f>
        <v>2080</v>
      </c>
      <c r="T225" s="236">
        <f t="shared" si="52"/>
        <v>2236000</v>
      </c>
      <c r="U225" s="238">
        <v>1680</v>
      </c>
      <c r="V225" s="239">
        <f>U225*E225</f>
        <v>1806000</v>
      </c>
      <c r="W225" s="238">
        <f>U225+S225</f>
        <v>3760</v>
      </c>
      <c r="X225" s="236">
        <f t="shared" si="53"/>
        <v>4042000</v>
      </c>
      <c r="Y225" s="238">
        <v>2000</v>
      </c>
      <c r="Z225" s="239">
        <f>Y225*E225</f>
        <v>2150000</v>
      </c>
      <c r="AA225" s="237">
        <f t="shared" si="54"/>
        <v>5760</v>
      </c>
      <c r="AB225" s="236">
        <f t="shared" si="54"/>
        <v>6192000</v>
      </c>
      <c r="AC225" s="238">
        <v>2500</v>
      </c>
      <c r="AD225" s="236">
        <f t="shared" si="55"/>
        <v>2687500</v>
      </c>
      <c r="AE225" s="237">
        <f t="shared" si="56"/>
        <v>8260</v>
      </c>
      <c r="AF225" s="236">
        <f t="shared" si="56"/>
        <v>8879500</v>
      </c>
      <c r="AG225" s="238" t="e">
        <f>#REF!</f>
        <v>#REF!</v>
      </c>
      <c r="AH225" s="236" t="e">
        <f t="shared" si="57"/>
        <v>#REF!</v>
      </c>
      <c r="AI225" s="237" t="e">
        <f t="shared" si="58"/>
        <v>#REF!</v>
      </c>
      <c r="AJ225" s="236" t="e">
        <f t="shared" si="58"/>
        <v>#REF!</v>
      </c>
      <c r="AK225" s="238" t="e">
        <f>#REF!</f>
        <v>#REF!</v>
      </c>
      <c r="AL225" s="236" t="e">
        <f t="shared" si="59"/>
        <v>#REF!</v>
      </c>
      <c r="AM225" s="237" t="e">
        <f t="shared" si="60"/>
        <v>#REF!</v>
      </c>
      <c r="AN225" s="236" t="e">
        <f t="shared" si="60"/>
        <v>#REF!</v>
      </c>
      <c r="AO225" s="240"/>
      <c r="AP225" s="236">
        <f t="shared" si="61"/>
        <v>0</v>
      </c>
    </row>
    <row r="226" spans="1:42" s="134" customFormat="1">
      <c r="A226" s="185"/>
      <c r="B226" s="188"/>
      <c r="C226" s="181"/>
      <c r="D226" s="182"/>
      <c r="E226" s="183"/>
      <c r="F226" s="166"/>
      <c r="G226" s="242"/>
      <c r="H226" s="239"/>
      <c r="I226" s="238"/>
      <c r="J226" s="239"/>
      <c r="K226" s="238"/>
      <c r="L226" s="239"/>
      <c r="M226" s="238"/>
      <c r="N226" s="239"/>
      <c r="O226" s="238"/>
      <c r="P226" s="239"/>
      <c r="Q226" s="238"/>
      <c r="R226" s="239"/>
      <c r="S226" s="238"/>
      <c r="T226" s="236">
        <f t="shared" si="52"/>
        <v>0</v>
      </c>
      <c r="U226" s="238"/>
      <c r="V226" s="239"/>
      <c r="W226" s="238"/>
      <c r="X226" s="236">
        <f t="shared" si="53"/>
        <v>0</v>
      </c>
      <c r="Y226" s="238"/>
      <c r="Z226" s="239"/>
      <c r="AA226" s="237">
        <f t="shared" si="54"/>
        <v>0</v>
      </c>
      <c r="AB226" s="236">
        <f t="shared" si="54"/>
        <v>0</v>
      </c>
      <c r="AC226" s="238"/>
      <c r="AD226" s="236">
        <f t="shared" si="55"/>
        <v>0</v>
      </c>
      <c r="AE226" s="237">
        <f t="shared" si="56"/>
        <v>0</v>
      </c>
      <c r="AF226" s="236">
        <f t="shared" si="56"/>
        <v>0</v>
      </c>
      <c r="AG226" s="238"/>
      <c r="AH226" s="236">
        <f t="shared" si="57"/>
        <v>0</v>
      </c>
      <c r="AI226" s="237">
        <f t="shared" si="58"/>
        <v>0</v>
      </c>
      <c r="AJ226" s="236">
        <f t="shared" si="58"/>
        <v>0</v>
      </c>
      <c r="AK226" s="238"/>
      <c r="AL226" s="236">
        <f t="shared" si="59"/>
        <v>0</v>
      </c>
      <c r="AM226" s="237">
        <f t="shared" si="60"/>
        <v>0</v>
      </c>
      <c r="AN226" s="236">
        <f t="shared" si="60"/>
        <v>0</v>
      </c>
      <c r="AO226" s="240"/>
      <c r="AP226" s="236">
        <f t="shared" si="61"/>
        <v>0</v>
      </c>
    </row>
    <row r="227" spans="1:42" s="134" customFormat="1" ht="25">
      <c r="A227" s="185" t="s">
        <v>415</v>
      </c>
      <c r="B227" s="189" t="s">
        <v>416</v>
      </c>
      <c r="C227" s="186" t="s">
        <v>9</v>
      </c>
      <c r="D227" s="182">
        <f>D192+D190</f>
        <v>220</v>
      </c>
      <c r="E227" s="187">
        <v>9750</v>
      </c>
      <c r="F227" s="170">
        <f>D227*E227</f>
        <v>2145000</v>
      </c>
      <c r="G227" s="242"/>
      <c r="H227" s="239"/>
      <c r="I227" s="238"/>
      <c r="J227" s="239"/>
      <c r="K227" s="238"/>
      <c r="L227" s="239"/>
      <c r="M227" s="238"/>
      <c r="N227" s="239"/>
      <c r="O227" s="238"/>
      <c r="P227" s="239"/>
      <c r="Q227" s="238"/>
      <c r="R227" s="239"/>
      <c r="S227" s="238"/>
      <c r="T227" s="236">
        <f t="shared" si="52"/>
        <v>0</v>
      </c>
      <c r="U227" s="238"/>
      <c r="V227" s="239"/>
      <c r="W227" s="238"/>
      <c r="X227" s="236">
        <f t="shared" si="53"/>
        <v>0</v>
      </c>
      <c r="Y227" s="238"/>
      <c r="Z227" s="239"/>
      <c r="AA227" s="237">
        <f t="shared" si="54"/>
        <v>0</v>
      </c>
      <c r="AB227" s="236">
        <f t="shared" si="54"/>
        <v>0</v>
      </c>
      <c r="AC227" s="238"/>
      <c r="AD227" s="236">
        <f t="shared" si="55"/>
        <v>0</v>
      </c>
      <c r="AE227" s="237">
        <f t="shared" si="56"/>
        <v>0</v>
      </c>
      <c r="AF227" s="236">
        <f t="shared" si="56"/>
        <v>0</v>
      </c>
      <c r="AG227" s="238" t="e">
        <f>#REF!</f>
        <v>#REF!</v>
      </c>
      <c r="AH227" s="236" t="e">
        <f t="shared" si="57"/>
        <v>#REF!</v>
      </c>
      <c r="AI227" s="237" t="e">
        <f t="shared" si="58"/>
        <v>#REF!</v>
      </c>
      <c r="AJ227" s="236" t="e">
        <f t="shared" si="58"/>
        <v>#REF!</v>
      </c>
      <c r="AK227" s="238" t="e">
        <f>#REF!</f>
        <v>#REF!</v>
      </c>
      <c r="AL227" s="236" t="e">
        <f t="shared" si="59"/>
        <v>#REF!</v>
      </c>
      <c r="AM227" s="237" t="e">
        <f t="shared" si="60"/>
        <v>#REF!</v>
      </c>
      <c r="AN227" s="236" t="e">
        <f t="shared" si="60"/>
        <v>#REF!</v>
      </c>
      <c r="AO227" s="240"/>
      <c r="AP227" s="236">
        <f t="shared" si="61"/>
        <v>0</v>
      </c>
    </row>
    <row r="228" spans="1:42">
      <c r="A228" s="5"/>
      <c r="B228" s="85"/>
      <c r="C228" s="57"/>
      <c r="D228" s="138"/>
      <c r="E228" s="118"/>
      <c r="F228" s="81"/>
    </row>
    <row r="229" spans="1:42" ht="13">
      <c r="A229" s="5"/>
      <c r="B229" s="222" t="s">
        <v>417</v>
      </c>
      <c r="C229" s="57"/>
      <c r="D229" s="138"/>
      <c r="E229" s="118"/>
      <c r="F229" s="81"/>
    </row>
    <row r="230" spans="1:42">
      <c r="A230" s="5"/>
      <c r="B230" s="85"/>
      <c r="C230" s="57"/>
      <c r="D230" s="138"/>
      <c r="E230" s="118"/>
      <c r="F230" s="81"/>
    </row>
    <row r="231" spans="1:42" ht="28">
      <c r="A231" s="5"/>
      <c r="B231" s="88" t="s">
        <v>418</v>
      </c>
      <c r="C231" s="57"/>
      <c r="D231" s="138"/>
      <c r="E231" s="118"/>
      <c r="F231" s="81"/>
    </row>
    <row r="232" spans="1:42" ht="12.75" customHeight="1">
      <c r="A232" s="5"/>
      <c r="B232" s="85"/>
      <c r="C232" s="57"/>
      <c r="D232" s="138"/>
      <c r="E232" s="118"/>
      <c r="F232" s="81"/>
    </row>
    <row r="233" spans="1:42" ht="14.5">
      <c r="A233" s="5" t="s">
        <v>419</v>
      </c>
      <c r="B233" s="85" t="s">
        <v>420</v>
      </c>
      <c r="C233" s="57" t="s">
        <v>10</v>
      </c>
      <c r="D233" s="138">
        <f>D82</f>
        <v>7</v>
      </c>
      <c r="E233" s="118">
        <v>1300</v>
      </c>
      <c r="F233" s="81">
        <f>D233*E233</f>
        <v>9100</v>
      </c>
    </row>
    <row r="234" spans="1:42">
      <c r="A234" s="5"/>
      <c r="B234" s="85"/>
      <c r="C234" s="57"/>
      <c r="D234" s="138"/>
      <c r="E234" s="118"/>
      <c r="F234" s="81"/>
    </row>
    <row r="235" spans="1:42" ht="14.5">
      <c r="A235" s="5" t="s">
        <v>421</v>
      </c>
      <c r="B235" s="85" t="s">
        <v>422</v>
      </c>
      <c r="C235" s="57" t="s">
        <v>10</v>
      </c>
      <c r="D235" s="138">
        <f>D84</f>
        <v>10</v>
      </c>
      <c r="E235" s="118">
        <v>3700</v>
      </c>
      <c r="F235" s="81">
        <f>D235*E235</f>
        <v>37000</v>
      </c>
    </row>
    <row r="236" spans="1:42">
      <c r="A236" s="5"/>
      <c r="B236" s="85"/>
      <c r="C236" s="57"/>
      <c r="D236" s="138"/>
      <c r="E236" s="118"/>
      <c r="F236" s="81"/>
    </row>
    <row r="237" spans="1:42" ht="14.5">
      <c r="A237" s="5" t="s">
        <v>423</v>
      </c>
      <c r="B237" s="85" t="s">
        <v>424</v>
      </c>
      <c r="C237" s="57" t="s">
        <v>10</v>
      </c>
      <c r="D237" s="138">
        <f>D86</f>
        <v>7</v>
      </c>
      <c r="E237" s="118">
        <v>7500</v>
      </c>
      <c r="F237" s="81">
        <f>D237*E237</f>
        <v>52500</v>
      </c>
    </row>
    <row r="238" spans="1:42">
      <c r="A238" s="5"/>
      <c r="B238" s="85"/>
      <c r="C238" s="57"/>
      <c r="D238" s="138"/>
      <c r="E238" s="118"/>
      <c r="F238" s="81"/>
    </row>
    <row r="239" spans="1:42" ht="14.5">
      <c r="A239" s="5" t="s">
        <v>423</v>
      </c>
      <c r="B239" s="85" t="s">
        <v>425</v>
      </c>
      <c r="C239" s="57" t="s">
        <v>10</v>
      </c>
      <c r="D239" s="138">
        <f>D88</f>
        <v>12</v>
      </c>
      <c r="E239" s="118">
        <v>9000</v>
      </c>
      <c r="F239" s="81">
        <f>D239*E239</f>
        <v>108000</v>
      </c>
    </row>
    <row r="240" spans="1:42">
      <c r="A240" s="5"/>
      <c r="B240" s="85"/>
      <c r="C240" s="57"/>
      <c r="D240" s="138"/>
      <c r="E240" s="118"/>
      <c r="F240" s="81"/>
    </row>
    <row r="241" spans="1:42" ht="14.5">
      <c r="A241" s="5" t="s">
        <v>426</v>
      </c>
      <c r="B241" s="85" t="s">
        <v>427</v>
      </c>
      <c r="C241" s="57" t="s">
        <v>10</v>
      </c>
      <c r="D241" s="138">
        <f>D90</f>
        <v>16</v>
      </c>
      <c r="E241" s="118">
        <v>22100</v>
      </c>
      <c r="F241" s="81">
        <f>D241*E241</f>
        <v>353600</v>
      </c>
    </row>
    <row r="242" spans="1:42">
      <c r="A242" s="5"/>
      <c r="B242" s="85"/>
      <c r="C242" s="57"/>
      <c r="D242" s="138"/>
      <c r="E242" s="118"/>
      <c r="F242" s="81"/>
    </row>
    <row r="243" spans="1:42" ht="15">
      <c r="A243" s="5"/>
      <c r="B243" s="88" t="s">
        <v>428</v>
      </c>
      <c r="C243" s="57"/>
      <c r="D243" s="138"/>
      <c r="E243" s="118"/>
      <c r="F243" s="81"/>
    </row>
    <row r="244" spans="1:42">
      <c r="A244" s="5"/>
      <c r="B244" s="85"/>
      <c r="C244" s="57"/>
      <c r="D244" s="138"/>
      <c r="E244" s="118"/>
      <c r="F244" s="81"/>
    </row>
    <row r="245" spans="1:42">
      <c r="A245" s="5" t="s">
        <v>429</v>
      </c>
      <c r="B245" s="85" t="s">
        <v>430</v>
      </c>
      <c r="C245" s="57" t="s">
        <v>10</v>
      </c>
      <c r="D245" s="138">
        <f>D158+D162</f>
        <v>6</v>
      </c>
      <c r="E245" s="118">
        <v>9000</v>
      </c>
      <c r="F245" s="81">
        <f>D245*E245</f>
        <v>54000</v>
      </c>
    </row>
    <row r="246" spans="1:42">
      <c r="A246" s="5"/>
      <c r="B246" s="85"/>
      <c r="C246" s="57"/>
      <c r="D246" s="138"/>
      <c r="E246" s="118"/>
      <c r="F246" s="81"/>
    </row>
    <row r="247" spans="1:42" ht="26" hidden="1">
      <c r="A247" s="5"/>
      <c r="B247" s="88" t="s">
        <v>431</v>
      </c>
      <c r="C247" s="57"/>
      <c r="D247" s="138"/>
      <c r="E247" s="118"/>
      <c r="F247" s="81"/>
    </row>
    <row r="248" spans="1:42" hidden="1">
      <c r="A248" s="5"/>
      <c r="B248" s="85"/>
      <c r="C248" s="57"/>
      <c r="D248" s="138"/>
      <c r="E248" s="118"/>
      <c r="F248" s="81"/>
    </row>
    <row r="249" spans="1:42" hidden="1">
      <c r="A249" s="5" t="s">
        <v>429</v>
      </c>
      <c r="B249" s="85" t="s">
        <v>432</v>
      </c>
      <c r="C249" s="57" t="s">
        <v>10</v>
      </c>
      <c r="D249" s="138"/>
      <c r="E249" s="118">
        <v>5000</v>
      </c>
      <c r="F249" s="81">
        <f>D249*E249</f>
        <v>0</v>
      </c>
    </row>
    <row r="250" spans="1:42" hidden="1">
      <c r="A250" s="5"/>
      <c r="B250" s="85"/>
      <c r="C250" s="57"/>
      <c r="D250" s="138"/>
      <c r="E250" s="118"/>
      <c r="F250" s="81"/>
    </row>
    <row r="251" spans="1:42" s="134" customFormat="1" ht="25">
      <c r="A251" s="179"/>
      <c r="B251" s="190" t="s">
        <v>433</v>
      </c>
      <c r="C251" s="223"/>
      <c r="D251" s="182"/>
      <c r="E251" s="183"/>
      <c r="F251" s="166"/>
      <c r="G251" s="242"/>
      <c r="H251" s="239"/>
      <c r="I251" s="238"/>
      <c r="J251" s="239"/>
      <c r="K251" s="238"/>
      <c r="L251" s="239"/>
      <c r="M251" s="238"/>
      <c r="N251" s="239"/>
      <c r="O251" s="238"/>
      <c r="P251" s="239"/>
      <c r="Q251" s="238"/>
      <c r="R251" s="239"/>
      <c r="S251" s="238"/>
      <c r="T251" s="236">
        <f>R251+P251</f>
        <v>0</v>
      </c>
      <c r="U251" s="238"/>
      <c r="V251" s="239"/>
      <c r="W251" s="238"/>
      <c r="X251" s="236">
        <f>V251+T251</f>
        <v>0</v>
      </c>
      <c r="Y251" s="238"/>
      <c r="Z251" s="239"/>
      <c r="AA251" s="237">
        <f t="shared" ref="AA251:AB253" si="62">Y251+W251</f>
        <v>0</v>
      </c>
      <c r="AB251" s="236">
        <f t="shared" si="62"/>
        <v>0</v>
      </c>
      <c r="AC251" s="238"/>
      <c r="AD251" s="239"/>
      <c r="AE251" s="237">
        <f t="shared" ref="AE251:AF253" si="63">AC251+AA251</f>
        <v>0</v>
      </c>
      <c r="AF251" s="236">
        <f t="shared" si="63"/>
        <v>0</v>
      </c>
      <c r="AG251" s="238"/>
      <c r="AH251" s="239"/>
      <c r="AI251" s="237">
        <f t="shared" ref="AI251:AJ253" si="64">AG251+AE251</f>
        <v>0</v>
      </c>
      <c r="AJ251" s="236">
        <f t="shared" si="64"/>
        <v>0</v>
      </c>
      <c r="AK251" s="238"/>
      <c r="AL251" s="239"/>
      <c r="AM251" s="237">
        <f t="shared" ref="AM251:AN253" si="65">AK251+AI251</f>
        <v>0</v>
      </c>
      <c r="AN251" s="236">
        <f t="shared" si="65"/>
        <v>0</v>
      </c>
      <c r="AO251" s="240"/>
      <c r="AP251" s="239"/>
    </row>
    <row r="252" spans="1:42" s="134" customFormat="1">
      <c r="A252" s="185"/>
      <c r="B252" s="189"/>
      <c r="C252" s="223"/>
      <c r="D252" s="182"/>
      <c r="E252" s="183"/>
      <c r="F252" s="166"/>
      <c r="G252" s="242"/>
      <c r="H252" s="239"/>
      <c r="I252" s="238"/>
      <c r="J252" s="239"/>
      <c r="K252" s="238"/>
      <c r="L252" s="239"/>
      <c r="M252" s="238"/>
      <c r="N252" s="239"/>
      <c r="O252" s="238"/>
      <c r="P252" s="239"/>
      <c r="Q252" s="238"/>
      <c r="R252" s="239"/>
      <c r="S252" s="238"/>
      <c r="T252" s="236">
        <f>R252+P252</f>
        <v>0</v>
      </c>
      <c r="U252" s="238"/>
      <c r="V252" s="239"/>
      <c r="W252" s="238"/>
      <c r="X252" s="236">
        <f>V252+T252</f>
        <v>0</v>
      </c>
      <c r="Y252" s="238"/>
      <c r="Z252" s="239"/>
      <c r="AA252" s="237">
        <f t="shared" si="62"/>
        <v>0</v>
      </c>
      <c r="AB252" s="236">
        <f t="shared" si="62"/>
        <v>0</v>
      </c>
      <c r="AC252" s="238"/>
      <c r="AD252" s="239"/>
      <c r="AE252" s="237">
        <f t="shared" si="63"/>
        <v>0</v>
      </c>
      <c r="AF252" s="236">
        <f t="shared" si="63"/>
        <v>0</v>
      </c>
      <c r="AG252" s="238"/>
      <c r="AH252" s="239"/>
      <c r="AI252" s="237">
        <f t="shared" si="64"/>
        <v>0</v>
      </c>
      <c r="AJ252" s="236">
        <f t="shared" si="64"/>
        <v>0</v>
      </c>
      <c r="AK252" s="238"/>
      <c r="AL252" s="239"/>
      <c r="AM252" s="237">
        <f t="shared" si="65"/>
        <v>0</v>
      </c>
      <c r="AN252" s="236">
        <f t="shared" si="65"/>
        <v>0</v>
      </c>
      <c r="AO252" s="240"/>
      <c r="AP252" s="239"/>
    </row>
    <row r="253" spans="1:42" s="134" customFormat="1">
      <c r="A253" s="185" t="s">
        <v>434</v>
      </c>
      <c r="B253" s="146" t="s">
        <v>435</v>
      </c>
      <c r="C253" s="223" t="s">
        <v>10</v>
      </c>
      <c r="D253" s="182">
        <v>5</v>
      </c>
      <c r="E253" s="187">
        <v>7560</v>
      </c>
      <c r="F253" s="170">
        <f>D253*E253</f>
        <v>37800</v>
      </c>
      <c r="G253" s="242"/>
      <c r="H253" s="239"/>
      <c r="I253" s="238"/>
      <c r="J253" s="239"/>
      <c r="K253" s="238"/>
      <c r="L253" s="239"/>
      <c r="M253" s="238"/>
      <c r="N253" s="239"/>
      <c r="O253" s="238"/>
      <c r="P253" s="239"/>
      <c r="Q253" s="238"/>
      <c r="R253" s="239"/>
      <c r="S253" s="238"/>
      <c r="T253" s="236">
        <f>R253+P253</f>
        <v>0</v>
      </c>
      <c r="U253" s="238"/>
      <c r="V253" s="239"/>
      <c r="W253" s="238"/>
      <c r="X253" s="236">
        <f>V253+T253</f>
        <v>0</v>
      </c>
      <c r="Y253" s="238"/>
      <c r="Z253" s="239"/>
      <c r="AA253" s="237">
        <f t="shared" si="62"/>
        <v>0</v>
      </c>
      <c r="AB253" s="236">
        <f t="shared" si="62"/>
        <v>0</v>
      </c>
      <c r="AC253" s="238"/>
      <c r="AD253" s="239"/>
      <c r="AE253" s="237">
        <f t="shared" si="63"/>
        <v>0</v>
      </c>
      <c r="AF253" s="236">
        <f t="shared" si="63"/>
        <v>0</v>
      </c>
      <c r="AG253" s="238"/>
      <c r="AH253" s="239"/>
      <c r="AI253" s="237">
        <f t="shared" si="64"/>
        <v>0</v>
      </c>
      <c r="AJ253" s="236">
        <f t="shared" si="64"/>
        <v>0</v>
      </c>
      <c r="AK253" s="238"/>
      <c r="AL253" s="239"/>
      <c r="AM253" s="237">
        <f t="shared" si="65"/>
        <v>0</v>
      </c>
      <c r="AN253" s="236">
        <f t="shared" si="65"/>
        <v>0</v>
      </c>
      <c r="AO253" s="240"/>
      <c r="AP253" s="239"/>
    </row>
    <row r="254" spans="1:42" ht="13">
      <c r="A254" s="5"/>
      <c r="B254" s="222"/>
      <c r="C254" s="57"/>
      <c r="D254" s="138"/>
      <c r="E254" s="118"/>
      <c r="F254" s="81"/>
    </row>
    <row r="255" spans="1:42">
      <c r="A255" s="224"/>
      <c r="B255" s="85"/>
      <c r="C255" s="57"/>
      <c r="D255" s="117"/>
      <c r="E255" s="225"/>
      <c r="F255" s="81"/>
    </row>
    <row r="256" spans="1:42" ht="13">
      <c r="A256" s="5"/>
      <c r="B256" s="222"/>
      <c r="C256" s="57"/>
      <c r="D256" s="138"/>
      <c r="E256" s="118"/>
      <c r="F256" s="81"/>
    </row>
    <row r="257" spans="1:6" ht="13">
      <c r="A257" s="5"/>
      <c r="B257" s="222"/>
      <c r="C257" s="57"/>
      <c r="D257" s="138"/>
      <c r="E257" s="118"/>
      <c r="F257" s="81"/>
    </row>
    <row r="258" spans="1:6" ht="13">
      <c r="A258" s="5"/>
      <c r="B258" s="222"/>
      <c r="C258" s="57"/>
      <c r="D258" s="138"/>
      <c r="E258" s="118"/>
      <c r="F258" s="81"/>
    </row>
    <row r="259" spans="1:6" ht="13">
      <c r="A259" s="5"/>
      <c r="B259" s="222"/>
      <c r="C259" s="57"/>
      <c r="D259" s="138"/>
      <c r="E259" s="118"/>
      <c r="F259" s="81"/>
    </row>
    <row r="260" spans="1:6" ht="13">
      <c r="A260" s="5"/>
      <c r="B260" s="222"/>
      <c r="C260" s="57"/>
      <c r="D260" s="138"/>
      <c r="E260" s="118"/>
      <c r="F260" s="81"/>
    </row>
    <row r="261" spans="1:6" ht="13">
      <c r="A261" s="5"/>
      <c r="B261" s="222"/>
      <c r="C261" s="57"/>
      <c r="D261" s="138"/>
      <c r="E261" s="118"/>
      <c r="F261" s="81"/>
    </row>
    <row r="262" spans="1:6" ht="13">
      <c r="A262" s="5"/>
      <c r="B262" s="222"/>
      <c r="C262" s="57"/>
      <c r="D262" s="138"/>
      <c r="E262" s="118"/>
      <c r="F262" s="81"/>
    </row>
    <row r="263" spans="1:6" ht="13">
      <c r="A263" s="5"/>
      <c r="B263" s="222"/>
      <c r="C263" s="57"/>
      <c r="D263" s="138"/>
      <c r="E263" s="118"/>
      <c r="F263" s="81"/>
    </row>
    <row r="264" spans="1:6" ht="13">
      <c r="A264" s="5"/>
      <c r="B264" s="222"/>
      <c r="C264" s="57"/>
      <c r="D264" s="138"/>
      <c r="E264" s="118"/>
      <c r="F264" s="81"/>
    </row>
    <row r="265" spans="1:6" ht="13">
      <c r="A265" s="5"/>
      <c r="B265" s="222"/>
      <c r="C265" s="57"/>
      <c r="D265" s="138"/>
      <c r="E265" s="118"/>
      <c r="F265" s="81"/>
    </row>
    <row r="266" spans="1:6" ht="13">
      <c r="A266" s="5"/>
      <c r="B266" s="222"/>
      <c r="C266" s="57"/>
      <c r="D266" s="138"/>
      <c r="E266" s="118"/>
      <c r="F266" s="81"/>
    </row>
    <row r="267" spans="1:6" ht="13">
      <c r="A267" s="5"/>
      <c r="B267" s="222"/>
      <c r="C267" s="57"/>
      <c r="D267" s="138"/>
      <c r="E267" s="118"/>
      <c r="F267" s="81"/>
    </row>
    <row r="268" spans="1:6" ht="13">
      <c r="A268" s="5"/>
      <c r="B268" s="222"/>
      <c r="C268" s="57"/>
      <c r="D268" s="138"/>
      <c r="E268" s="118"/>
      <c r="F268" s="81"/>
    </row>
    <row r="269" spans="1:6" ht="13">
      <c r="A269" s="5"/>
      <c r="B269" s="222"/>
      <c r="C269" s="57"/>
      <c r="D269" s="138"/>
      <c r="E269" s="118"/>
      <c r="F269" s="81"/>
    </row>
    <row r="270" spans="1:6" ht="13">
      <c r="A270" s="5"/>
      <c r="B270" s="222"/>
      <c r="C270" s="57"/>
      <c r="D270" s="138"/>
      <c r="E270" s="118"/>
      <c r="F270" s="81"/>
    </row>
    <row r="271" spans="1:6" ht="13">
      <c r="A271" s="5"/>
      <c r="B271" s="222"/>
      <c r="C271" s="57"/>
      <c r="D271" s="138"/>
      <c r="E271" s="118"/>
      <c r="F271" s="81"/>
    </row>
    <row r="272" spans="1:6" ht="13.5" thickBot="1">
      <c r="A272" s="5"/>
      <c r="B272" s="222"/>
      <c r="C272" s="57"/>
      <c r="D272" s="138"/>
      <c r="E272" s="118"/>
      <c r="F272" s="81"/>
    </row>
    <row r="273" spans="1:6" s="3" customFormat="1" ht="13" thickTop="1">
      <c r="A273" s="15"/>
      <c r="B273" s="10"/>
      <c r="C273" s="104"/>
      <c r="D273" s="119"/>
      <c r="E273" s="105"/>
      <c r="F273" s="80"/>
    </row>
    <row r="274" spans="1:6" s="3" customFormat="1" ht="13">
      <c r="A274" s="106"/>
      <c r="B274" s="107" t="s">
        <v>301</v>
      </c>
      <c r="C274" s="108"/>
      <c r="D274" s="120"/>
      <c r="E274" s="109"/>
      <c r="F274" s="75">
        <f>SUM(F220:F273)</f>
        <v>5897050</v>
      </c>
    </row>
    <row r="275" spans="1:6" s="3" customFormat="1" ht="13" thickBot="1">
      <c r="A275" s="12"/>
      <c r="B275" s="110"/>
      <c r="C275" s="111"/>
      <c r="D275" s="122"/>
      <c r="E275" s="112"/>
      <c r="F275" s="82"/>
    </row>
    <row r="276" spans="1:6" ht="13.5" thickTop="1">
      <c r="A276" s="15"/>
      <c r="B276" s="1543"/>
      <c r="C276" s="1543"/>
      <c r="D276" s="1543"/>
      <c r="E276" s="1543"/>
      <c r="F276" s="172"/>
    </row>
    <row r="277" spans="1:6" ht="12.75" customHeight="1">
      <c r="A277" s="1542" t="s">
        <v>261</v>
      </c>
      <c r="B277" s="1542"/>
      <c r="C277" s="1542"/>
      <c r="D277" s="1542"/>
      <c r="E277" s="1542"/>
      <c r="F277" s="1542"/>
    </row>
    <row r="278" spans="1:6" ht="13" thickBot="1">
      <c r="A278" s="91"/>
      <c r="D278" s="127"/>
      <c r="E278" s="128"/>
      <c r="F278" s="135"/>
    </row>
    <row r="279" spans="1:6" ht="27" thickTop="1" thickBot="1">
      <c r="A279" s="13" t="s">
        <v>4</v>
      </c>
      <c r="B279" s="129" t="s">
        <v>5</v>
      </c>
      <c r="C279" s="129" t="s">
        <v>6</v>
      </c>
      <c r="D279" s="130" t="s">
        <v>1</v>
      </c>
      <c r="E279" s="131" t="s">
        <v>7</v>
      </c>
      <c r="F279" s="76" t="s">
        <v>8</v>
      </c>
    </row>
    <row r="280" spans="1:6" ht="13" thickTop="1">
      <c r="A280" s="5"/>
      <c r="B280" s="115"/>
      <c r="C280" s="86"/>
      <c r="D280" s="138"/>
      <c r="E280" s="118"/>
      <c r="F280" s="81"/>
    </row>
    <row r="281" spans="1:6">
      <c r="A281" s="5"/>
      <c r="B281" s="115"/>
      <c r="C281" s="86"/>
      <c r="D281" s="138"/>
      <c r="E281" s="118"/>
      <c r="F281" s="81"/>
    </row>
    <row r="282" spans="1:6" ht="13">
      <c r="A282" s="11"/>
      <c r="B282" s="62" t="s">
        <v>436</v>
      </c>
      <c r="C282" s="63"/>
      <c r="D282" s="226"/>
      <c r="E282" s="79"/>
      <c r="F282" s="78"/>
    </row>
    <row r="283" spans="1:6" ht="13">
      <c r="A283" s="14"/>
      <c r="B283" s="85"/>
      <c r="C283" s="58"/>
      <c r="D283" s="227"/>
      <c r="E283" s="77"/>
      <c r="F283" s="64"/>
    </row>
    <row r="284" spans="1:6" ht="13">
      <c r="A284" s="14"/>
      <c r="B284" s="59" t="s">
        <v>78</v>
      </c>
      <c r="C284" s="58"/>
      <c r="D284" s="227"/>
      <c r="E284" s="77"/>
      <c r="F284" s="64">
        <f>F59</f>
        <v>119224050</v>
      </c>
    </row>
    <row r="285" spans="1:6" ht="13">
      <c r="A285" s="14"/>
      <c r="B285" s="59"/>
      <c r="C285" s="58"/>
      <c r="D285" s="227"/>
      <c r="E285" s="77"/>
      <c r="F285" s="64"/>
    </row>
    <row r="286" spans="1:6" ht="13">
      <c r="A286" s="14"/>
      <c r="B286" s="59" t="s">
        <v>79</v>
      </c>
      <c r="C286" s="58"/>
      <c r="D286" s="227"/>
      <c r="E286" s="77"/>
      <c r="F286" s="64">
        <f>F146</f>
        <v>4946825</v>
      </c>
    </row>
    <row r="287" spans="1:6" ht="13">
      <c r="A287" s="14"/>
      <c r="B287" s="59"/>
      <c r="C287" s="58"/>
      <c r="D287" s="227"/>
      <c r="E287" s="77"/>
      <c r="F287" s="64"/>
    </row>
    <row r="288" spans="1:6" ht="13">
      <c r="A288" s="14"/>
      <c r="B288" s="59" t="s">
        <v>80</v>
      </c>
      <c r="C288" s="58"/>
      <c r="D288" s="227"/>
      <c r="E288" s="77"/>
      <c r="F288" s="64">
        <f>F214</f>
        <v>15280370</v>
      </c>
    </row>
    <row r="289" spans="1:6" ht="13">
      <c r="A289" s="14"/>
      <c r="B289" s="59"/>
      <c r="C289" s="58"/>
      <c r="D289" s="227"/>
      <c r="E289" s="77"/>
      <c r="F289" s="64"/>
    </row>
    <row r="290" spans="1:6" ht="13">
      <c r="A290" s="14"/>
      <c r="B290" s="59" t="s">
        <v>81</v>
      </c>
      <c r="C290" s="58"/>
      <c r="D290" s="227"/>
      <c r="E290" s="77"/>
      <c r="F290" s="64">
        <f>F274</f>
        <v>5897050</v>
      </c>
    </row>
    <row r="291" spans="1:6" ht="13">
      <c r="A291" s="14"/>
      <c r="B291" s="59"/>
      <c r="C291" s="58"/>
      <c r="D291" s="227"/>
      <c r="E291" s="77"/>
      <c r="F291" s="64"/>
    </row>
    <row r="292" spans="1:6" ht="13">
      <c r="A292" s="14"/>
      <c r="B292" s="59"/>
      <c r="C292" s="58"/>
      <c r="D292" s="227"/>
      <c r="E292" s="77"/>
      <c r="F292" s="64"/>
    </row>
    <row r="293" spans="1:6" ht="13">
      <c r="A293" s="14"/>
      <c r="B293" s="59"/>
      <c r="C293" s="58"/>
      <c r="D293" s="227"/>
      <c r="E293" s="77"/>
      <c r="F293" s="64"/>
    </row>
    <row r="294" spans="1:6" ht="13">
      <c r="A294" s="14"/>
      <c r="B294" s="85"/>
      <c r="C294" s="58"/>
      <c r="D294" s="227"/>
      <c r="E294" s="77"/>
      <c r="F294" s="64"/>
    </row>
    <row r="295" spans="1:6" ht="13">
      <c r="A295" s="14"/>
      <c r="B295" s="85"/>
      <c r="C295" s="58"/>
      <c r="D295" s="227"/>
      <c r="E295" s="77"/>
      <c r="F295" s="64"/>
    </row>
    <row r="296" spans="1:6" ht="13">
      <c r="A296" s="14"/>
      <c r="B296" s="85"/>
      <c r="C296" s="58"/>
      <c r="D296" s="227"/>
      <c r="E296" s="77"/>
      <c r="F296" s="64"/>
    </row>
    <row r="297" spans="1:6" ht="13">
      <c r="A297" s="14"/>
      <c r="B297" s="85"/>
      <c r="C297" s="58"/>
      <c r="D297" s="227"/>
      <c r="E297" s="77"/>
      <c r="F297" s="64"/>
    </row>
    <row r="298" spans="1:6" ht="13">
      <c r="A298" s="14"/>
      <c r="B298" s="85"/>
      <c r="C298" s="58"/>
      <c r="D298" s="227"/>
      <c r="E298" s="77"/>
      <c r="F298" s="64"/>
    </row>
    <row r="299" spans="1:6" ht="13">
      <c r="A299" s="14"/>
      <c r="B299" s="85"/>
      <c r="C299" s="58"/>
      <c r="D299" s="227"/>
      <c r="E299" s="77"/>
      <c r="F299" s="64"/>
    </row>
    <row r="300" spans="1:6" ht="13">
      <c r="A300" s="14"/>
      <c r="B300" s="85"/>
      <c r="C300" s="58"/>
      <c r="D300" s="227"/>
      <c r="E300" s="77"/>
      <c r="F300" s="64"/>
    </row>
    <row r="301" spans="1:6" ht="13">
      <c r="A301" s="14"/>
      <c r="B301" s="85"/>
      <c r="C301" s="58"/>
      <c r="D301" s="227"/>
      <c r="E301" s="77"/>
      <c r="F301" s="64"/>
    </row>
    <row r="302" spans="1:6" ht="13">
      <c r="A302" s="14"/>
      <c r="B302" s="85"/>
      <c r="C302" s="58"/>
      <c r="D302" s="227"/>
      <c r="E302" s="77"/>
      <c r="F302" s="64"/>
    </row>
    <row r="303" spans="1:6" ht="13">
      <c r="A303" s="14"/>
      <c r="B303" s="85"/>
      <c r="C303" s="58"/>
      <c r="D303" s="227"/>
      <c r="E303" s="77"/>
      <c r="F303" s="64"/>
    </row>
    <row r="304" spans="1:6" ht="13">
      <c r="A304" s="14"/>
      <c r="B304" s="85"/>
      <c r="C304" s="58"/>
      <c r="D304" s="227"/>
      <c r="E304" s="77"/>
      <c r="F304" s="64"/>
    </row>
    <row r="305" spans="1:6" ht="13">
      <c r="A305" s="14"/>
      <c r="B305" s="85"/>
      <c r="C305" s="58"/>
      <c r="D305" s="227"/>
      <c r="E305" s="77"/>
      <c r="F305" s="64"/>
    </row>
    <row r="306" spans="1:6" ht="13">
      <c r="A306" s="14"/>
      <c r="B306" s="85"/>
      <c r="C306" s="58"/>
      <c r="D306" s="227"/>
      <c r="E306" s="77"/>
      <c r="F306" s="64"/>
    </row>
    <row r="307" spans="1:6" ht="13">
      <c r="A307" s="14"/>
      <c r="B307" s="85"/>
      <c r="C307" s="58"/>
      <c r="D307" s="227"/>
      <c r="E307" s="77"/>
      <c r="F307" s="64"/>
    </row>
    <row r="308" spans="1:6" ht="13">
      <c r="A308" s="14"/>
      <c r="B308" s="85"/>
      <c r="C308" s="58"/>
      <c r="D308" s="227"/>
      <c r="E308" s="77"/>
      <c r="F308" s="64"/>
    </row>
    <row r="309" spans="1:6" ht="13">
      <c r="A309" s="14"/>
      <c r="B309" s="85"/>
      <c r="C309" s="58"/>
      <c r="D309" s="227"/>
      <c r="E309" s="77"/>
      <c r="F309" s="64"/>
    </row>
    <row r="310" spans="1:6" ht="13">
      <c r="A310" s="14"/>
      <c r="B310" s="85"/>
      <c r="C310" s="58"/>
      <c r="D310" s="227"/>
      <c r="E310" s="77"/>
      <c r="F310" s="64"/>
    </row>
    <row r="311" spans="1:6" ht="13">
      <c r="A311" s="14"/>
      <c r="B311" s="85"/>
      <c r="C311" s="58"/>
      <c r="D311" s="227"/>
      <c r="E311" s="77"/>
      <c r="F311" s="64"/>
    </row>
    <row r="312" spans="1:6" ht="13">
      <c r="A312" s="14"/>
      <c r="B312" s="85"/>
      <c r="C312" s="58"/>
      <c r="D312" s="227"/>
      <c r="E312" s="77"/>
      <c r="F312" s="64"/>
    </row>
    <row r="313" spans="1:6" ht="13">
      <c r="A313" s="14"/>
      <c r="B313" s="85"/>
      <c r="C313" s="58"/>
      <c r="D313" s="227"/>
      <c r="E313" s="77"/>
      <c r="F313" s="64"/>
    </row>
    <row r="314" spans="1:6" ht="13">
      <c r="A314" s="14"/>
      <c r="B314" s="85"/>
      <c r="C314" s="58"/>
      <c r="D314" s="227"/>
      <c r="E314" s="77"/>
      <c r="F314" s="64"/>
    </row>
    <row r="315" spans="1:6" ht="13">
      <c r="A315" s="14"/>
      <c r="B315" s="85"/>
      <c r="C315" s="58"/>
      <c r="D315" s="227"/>
      <c r="E315" s="77"/>
      <c r="F315" s="64"/>
    </row>
    <row r="316" spans="1:6" ht="13">
      <c r="A316" s="14"/>
      <c r="B316" s="85"/>
      <c r="C316" s="58"/>
      <c r="D316" s="227"/>
      <c r="E316" s="77"/>
      <c r="F316" s="64"/>
    </row>
    <row r="317" spans="1:6" ht="13">
      <c r="A317" s="14"/>
      <c r="B317" s="85"/>
      <c r="C317" s="58"/>
      <c r="D317" s="227"/>
      <c r="E317" s="77"/>
      <c r="F317" s="64"/>
    </row>
    <row r="318" spans="1:6" ht="13">
      <c r="A318" s="14"/>
      <c r="B318" s="85"/>
      <c r="C318" s="58"/>
      <c r="D318" s="227"/>
      <c r="E318" s="77"/>
      <c r="F318" s="64"/>
    </row>
    <row r="319" spans="1:6" ht="13">
      <c r="A319" s="14"/>
      <c r="B319" s="85"/>
      <c r="C319" s="58"/>
      <c r="D319" s="227"/>
      <c r="E319" s="77"/>
      <c r="F319" s="64"/>
    </row>
    <row r="320" spans="1:6" ht="13">
      <c r="A320" s="14"/>
      <c r="B320" s="85"/>
      <c r="C320" s="58"/>
      <c r="D320" s="227"/>
      <c r="E320" s="77"/>
      <c r="F320" s="64"/>
    </row>
    <row r="321" spans="1:6" ht="13">
      <c r="A321" s="14"/>
      <c r="B321" s="85"/>
      <c r="C321" s="58"/>
      <c r="D321" s="227"/>
      <c r="E321" s="77"/>
      <c r="F321" s="64"/>
    </row>
    <row r="322" spans="1:6" ht="13">
      <c r="A322" s="14"/>
      <c r="B322" s="85"/>
      <c r="C322" s="58"/>
      <c r="D322" s="227"/>
      <c r="E322" s="77"/>
      <c r="F322" s="64"/>
    </row>
    <row r="323" spans="1:6" ht="13">
      <c r="A323" s="14"/>
      <c r="B323" s="85"/>
      <c r="C323" s="58"/>
      <c r="D323" s="227"/>
      <c r="E323" s="77"/>
      <c r="F323" s="64"/>
    </row>
    <row r="324" spans="1:6" ht="13">
      <c r="A324" s="14"/>
      <c r="B324" s="85"/>
      <c r="C324" s="58"/>
      <c r="D324" s="227"/>
      <c r="E324" s="77"/>
      <c r="F324" s="64"/>
    </row>
    <row r="325" spans="1:6" ht="13">
      <c r="A325" s="14"/>
      <c r="B325" s="85"/>
      <c r="C325" s="58"/>
      <c r="D325" s="227"/>
      <c r="E325" s="77"/>
      <c r="F325" s="64"/>
    </row>
    <row r="326" spans="1:6" ht="13">
      <c r="A326" s="14"/>
      <c r="B326" s="85"/>
      <c r="C326" s="58"/>
      <c r="D326" s="227"/>
      <c r="E326" s="77"/>
      <c r="F326" s="64"/>
    </row>
    <row r="327" spans="1:6" ht="13">
      <c r="A327" s="14"/>
      <c r="B327" s="85"/>
      <c r="C327" s="58"/>
      <c r="D327" s="227"/>
      <c r="E327" s="77"/>
      <c r="F327" s="64"/>
    </row>
    <row r="328" spans="1:6" ht="13">
      <c r="A328" s="14"/>
      <c r="B328" s="85"/>
      <c r="C328" s="58"/>
      <c r="D328" s="227"/>
      <c r="E328" s="77"/>
      <c r="F328" s="64"/>
    </row>
    <row r="329" spans="1:6" ht="13">
      <c r="A329" s="14"/>
      <c r="B329" s="85"/>
      <c r="C329" s="58"/>
      <c r="D329" s="227"/>
      <c r="E329" s="77"/>
      <c r="F329" s="64"/>
    </row>
    <row r="330" spans="1:6" ht="13">
      <c r="A330" s="14"/>
      <c r="B330" s="85"/>
      <c r="C330" s="58"/>
      <c r="D330" s="227"/>
      <c r="E330" s="77"/>
      <c r="F330" s="64"/>
    </row>
    <row r="331" spans="1:6" ht="13">
      <c r="A331" s="14"/>
      <c r="B331" s="85"/>
      <c r="C331" s="58"/>
      <c r="D331" s="227"/>
      <c r="E331" s="77"/>
      <c r="F331" s="64"/>
    </row>
    <row r="332" spans="1:6" ht="13">
      <c r="A332" s="14"/>
      <c r="B332" s="85"/>
      <c r="C332" s="58"/>
      <c r="D332" s="227"/>
      <c r="E332" s="77"/>
      <c r="F332" s="64"/>
    </row>
    <row r="333" spans="1:6" ht="13">
      <c r="A333" s="14"/>
      <c r="B333" s="85"/>
      <c r="C333" s="58"/>
      <c r="D333" s="227"/>
      <c r="E333" s="77"/>
      <c r="F333" s="64"/>
    </row>
    <row r="334" spans="1:6" ht="13">
      <c r="A334" s="14"/>
      <c r="B334" s="85"/>
      <c r="C334" s="58"/>
      <c r="D334" s="227"/>
      <c r="E334" s="77"/>
      <c r="F334" s="64"/>
    </row>
    <row r="335" spans="1:6" ht="13">
      <c r="A335" s="14"/>
      <c r="B335" s="85"/>
      <c r="C335" s="58"/>
      <c r="D335" s="227"/>
      <c r="E335" s="77"/>
      <c r="F335" s="64"/>
    </row>
    <row r="336" spans="1:6" ht="13">
      <c r="A336" s="14"/>
      <c r="B336" s="85"/>
      <c r="C336" s="58"/>
      <c r="D336" s="227"/>
      <c r="E336" s="77"/>
      <c r="F336" s="64"/>
    </row>
    <row r="337" spans="1:6" ht="13">
      <c r="A337" s="14"/>
      <c r="B337" s="85"/>
      <c r="C337" s="58"/>
      <c r="D337" s="227"/>
      <c r="E337" s="77"/>
      <c r="F337" s="64"/>
    </row>
    <row r="338" spans="1:6" ht="13">
      <c r="A338" s="14"/>
      <c r="B338" s="85"/>
      <c r="C338" s="58"/>
      <c r="D338" s="227"/>
      <c r="E338" s="77"/>
      <c r="F338" s="64"/>
    </row>
    <row r="339" spans="1:6" ht="13.5" thickBot="1">
      <c r="A339" s="14"/>
      <c r="B339" s="85"/>
      <c r="C339" s="58"/>
      <c r="D339" s="227"/>
      <c r="E339" s="77"/>
      <c r="F339" s="64"/>
    </row>
    <row r="340" spans="1:6" ht="13" thickTop="1">
      <c r="A340" s="15"/>
      <c r="B340" s="10"/>
      <c r="C340" s="104"/>
      <c r="D340" s="119"/>
      <c r="E340" s="105"/>
      <c r="F340" s="80"/>
    </row>
    <row r="341" spans="1:6" ht="13">
      <c r="A341" s="106"/>
      <c r="B341" s="107" t="s">
        <v>437</v>
      </c>
      <c r="C341" s="108"/>
      <c r="D341" s="120"/>
      <c r="E341" s="109"/>
      <c r="F341" s="75">
        <f>SUM(F280:F340)</f>
        <v>145348295</v>
      </c>
    </row>
    <row r="342" spans="1:6" ht="13" thickBot="1">
      <c r="A342" s="12"/>
      <c r="B342" s="110"/>
      <c r="C342" s="111"/>
      <c r="D342" s="122"/>
      <c r="E342" s="112"/>
      <c r="F342" s="82"/>
    </row>
    <row r="343" spans="1:6" ht="13" thickTop="1"/>
    <row r="344" spans="1:6">
      <c r="E344" s="125">
        <f>F341/5020</f>
        <v>28953.843625498008</v>
      </c>
    </row>
  </sheetData>
  <mergeCells count="9">
    <mergeCell ref="A217:F217"/>
    <mergeCell ref="B276:E276"/>
    <mergeCell ref="A277:F277"/>
    <mergeCell ref="A2:F2"/>
    <mergeCell ref="B61:E61"/>
    <mergeCell ref="A62:F62"/>
    <mergeCell ref="B148:E148"/>
    <mergeCell ref="A149:F149"/>
    <mergeCell ref="B216:E216"/>
  </mergeCells>
  <printOptions horizontalCentered="1" verticalCentered="1"/>
  <pageMargins left="0.75" right="0.5" top="0.75" bottom="0.75" header="0.5" footer="0.5"/>
  <pageSetup paperSize="9" scale="90"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349"/>
  <sheetViews>
    <sheetView view="pageBreakPreview" topLeftCell="A191" zoomScaleNormal="100" zoomScaleSheetLayoutView="100" workbookViewId="0">
      <selection activeCell="B14" sqref="B14"/>
    </sheetView>
  </sheetViews>
  <sheetFormatPr defaultColWidth="9.08984375" defaultRowHeight="12.5"/>
  <cols>
    <col min="1" max="1" width="9.54296875" style="123" customWidth="1"/>
    <col min="2" max="2" width="48.54296875" style="17" customWidth="1"/>
    <col min="3" max="3" width="8.54296875" style="123" customWidth="1"/>
    <col min="4" max="4" width="8.6328125" style="124" customWidth="1"/>
    <col min="5" max="5" width="11.08984375" style="125" customWidth="1"/>
    <col min="6" max="6" width="14.6328125" style="126" customWidth="1"/>
    <col min="7" max="8" width="9.08984375" style="17"/>
    <col min="9" max="9" width="9.90625" style="17" bestFit="1" customWidth="1"/>
    <col min="10" max="10" width="12.08984375" style="17" customWidth="1"/>
    <col min="11" max="11" width="9.90625" style="17" bestFit="1" customWidth="1"/>
    <col min="12" max="12" width="11.453125" style="17" customWidth="1"/>
    <col min="13" max="13" width="9.90625" style="17" bestFit="1" customWidth="1"/>
    <col min="14" max="14" width="13.6328125" style="17" bestFit="1" customWidth="1"/>
    <col min="15" max="15" width="9.90625" style="17" bestFit="1" customWidth="1"/>
    <col min="16" max="16384" width="9.08984375" style="17"/>
  </cols>
  <sheetData>
    <row r="1" spans="1:6" ht="12.75" customHeight="1"/>
    <row r="2" spans="1:6" ht="12.75" customHeight="1">
      <c r="A2" s="1542" t="s">
        <v>438</v>
      </c>
      <c r="B2" s="1542"/>
      <c r="C2" s="1542"/>
      <c r="D2" s="1542"/>
      <c r="E2" s="1542"/>
      <c r="F2" s="1542"/>
    </row>
    <row r="3" spans="1:6" ht="13" thickBot="1">
      <c r="A3" s="9"/>
      <c r="D3" s="127"/>
      <c r="E3" s="128"/>
    </row>
    <row r="4" spans="1:6" ht="27" thickTop="1" thickBot="1">
      <c r="A4" s="13" t="s">
        <v>4</v>
      </c>
      <c r="B4" s="129" t="s">
        <v>5</v>
      </c>
      <c r="C4" s="129" t="s">
        <v>6</v>
      </c>
      <c r="D4" s="130" t="s">
        <v>1</v>
      </c>
      <c r="E4" s="131" t="s">
        <v>7</v>
      </c>
      <c r="F4" s="76" t="s">
        <v>8</v>
      </c>
    </row>
    <row r="5" spans="1:6" ht="13.5" thickTop="1">
      <c r="A5" s="5"/>
      <c r="B5" s="87"/>
      <c r="C5" s="57"/>
      <c r="D5" s="138"/>
      <c r="E5" s="139"/>
      <c r="F5" s="140"/>
    </row>
    <row r="6" spans="1:6" ht="13">
      <c r="A6" s="1"/>
      <c r="B6" s="87" t="s">
        <v>71</v>
      </c>
      <c r="C6" s="57"/>
      <c r="D6" s="138"/>
      <c r="E6" s="139"/>
      <c r="F6" s="140"/>
    </row>
    <row r="7" spans="1:6" ht="13">
      <c r="A7" s="5"/>
      <c r="B7" s="87"/>
      <c r="C7" s="57"/>
      <c r="D7" s="138"/>
      <c r="E7" s="139"/>
      <c r="F7" s="140"/>
    </row>
    <row r="8" spans="1:6" ht="13">
      <c r="A8" s="5"/>
      <c r="B8" s="87" t="s">
        <v>249</v>
      </c>
      <c r="C8" s="57"/>
      <c r="D8" s="138"/>
      <c r="E8" s="139"/>
      <c r="F8" s="140"/>
    </row>
    <row r="9" spans="1:6" ht="13">
      <c r="A9" s="5"/>
      <c r="B9" s="87"/>
      <c r="C9" s="57"/>
      <c r="D9" s="138"/>
      <c r="E9" s="139"/>
      <c r="F9" s="140"/>
    </row>
    <row r="10" spans="1:6" ht="13">
      <c r="A10" s="5"/>
      <c r="B10" s="88" t="s">
        <v>262</v>
      </c>
      <c r="C10" s="57"/>
      <c r="D10" s="138"/>
      <c r="E10" s="139"/>
      <c r="F10" s="140"/>
    </row>
    <row r="11" spans="1:6">
      <c r="A11" s="5"/>
      <c r="B11" s="85"/>
      <c r="C11" s="57"/>
      <c r="D11" s="138"/>
      <c r="E11" s="118"/>
      <c r="F11" s="81"/>
    </row>
    <row r="12" spans="1:6" ht="37.5">
      <c r="A12" s="18"/>
      <c r="B12" s="141" t="s">
        <v>263</v>
      </c>
      <c r="C12" s="96"/>
      <c r="D12" s="142"/>
      <c r="E12" s="118"/>
      <c r="F12" s="81"/>
    </row>
    <row r="13" spans="1:6" ht="13">
      <c r="A13" s="18"/>
      <c r="B13" s="100"/>
      <c r="C13" s="103"/>
      <c r="D13" s="143"/>
      <c r="E13" s="118"/>
      <c r="F13" s="81"/>
    </row>
    <row r="14" spans="1:6">
      <c r="A14" s="11" t="s">
        <v>264</v>
      </c>
      <c r="B14" s="100" t="s">
        <v>439</v>
      </c>
      <c r="C14" s="103" t="s">
        <v>9</v>
      </c>
      <c r="D14" s="143">
        <f>'[34]TAKE OFF sHEET'!N4</f>
        <v>5210</v>
      </c>
      <c r="E14" s="118">
        <v>600</v>
      </c>
      <c r="F14" s="81">
        <f>D14*E14</f>
        <v>3126000</v>
      </c>
    </row>
    <row r="15" spans="1:6">
      <c r="A15" s="11"/>
      <c r="B15" s="100"/>
      <c r="C15" s="103"/>
      <c r="D15" s="143"/>
      <c r="E15" s="118"/>
      <c r="F15" s="81"/>
    </row>
    <row r="16" spans="1:6" ht="13">
      <c r="A16" s="56"/>
      <c r="B16" s="26" t="s">
        <v>266</v>
      </c>
      <c r="C16" s="57"/>
      <c r="D16" s="144"/>
      <c r="E16" s="118"/>
      <c r="F16" s="81"/>
    </row>
    <row r="17" spans="1:14" ht="13">
      <c r="A17" s="27"/>
      <c r="B17" s="98"/>
      <c r="C17" s="57"/>
      <c r="D17" s="144"/>
      <c r="E17" s="118"/>
      <c r="F17" s="81"/>
      <c r="I17" s="17">
        <f>6*D14</f>
        <v>31260</v>
      </c>
    </row>
    <row r="18" spans="1:14" ht="37.5">
      <c r="A18" s="27" t="s">
        <v>267</v>
      </c>
      <c r="B18" s="100" t="s">
        <v>268</v>
      </c>
      <c r="C18" s="57" t="s">
        <v>37</v>
      </c>
      <c r="D18" s="145">
        <f>ROUNDUP((6*D14)/10000,-0.1)</f>
        <v>4</v>
      </c>
      <c r="E18" s="118">
        <v>200000</v>
      </c>
      <c r="F18" s="81">
        <f>D18*E18</f>
        <v>800000</v>
      </c>
    </row>
    <row r="19" spans="1:14">
      <c r="A19" s="27"/>
      <c r="B19" s="100"/>
      <c r="C19" s="57"/>
      <c r="D19" s="144"/>
      <c r="E19" s="118"/>
      <c r="F19" s="81"/>
    </row>
    <row r="20" spans="1:14">
      <c r="A20" s="27" t="s">
        <v>269</v>
      </c>
      <c r="B20" s="146" t="s">
        <v>270</v>
      </c>
      <c r="C20" s="57" t="s">
        <v>10</v>
      </c>
      <c r="D20" s="144">
        <v>20</v>
      </c>
      <c r="E20" s="147">
        <v>4000</v>
      </c>
      <c r="F20" s="81">
        <f>D20*E20</f>
        <v>80000</v>
      </c>
    </row>
    <row r="21" spans="1:14">
      <c r="A21" s="4"/>
      <c r="B21" s="146"/>
      <c r="C21" s="57"/>
      <c r="D21" s="144"/>
      <c r="E21" s="147"/>
      <c r="F21" s="81"/>
    </row>
    <row r="22" spans="1:14">
      <c r="A22" s="4" t="s">
        <v>271</v>
      </c>
      <c r="B22" s="146" t="s">
        <v>272</v>
      </c>
      <c r="C22" s="57" t="s">
        <v>10</v>
      </c>
      <c r="D22" s="144">
        <v>15</v>
      </c>
      <c r="E22" s="147">
        <v>8000</v>
      </c>
      <c r="F22" s="81">
        <f>D22*E22</f>
        <v>120000</v>
      </c>
    </row>
    <row r="23" spans="1:14">
      <c r="A23" s="4"/>
      <c r="B23" s="146"/>
      <c r="C23" s="57"/>
      <c r="D23" s="144"/>
      <c r="E23" s="118"/>
      <c r="F23" s="81"/>
    </row>
    <row r="24" spans="1:14">
      <c r="A24" s="27" t="s">
        <v>273</v>
      </c>
      <c r="B24" s="146" t="s">
        <v>274</v>
      </c>
      <c r="C24" s="57" t="s">
        <v>10</v>
      </c>
      <c r="D24" s="144">
        <v>10</v>
      </c>
      <c r="E24" s="118">
        <v>12000</v>
      </c>
      <c r="F24" s="81">
        <f>D24*E24</f>
        <v>120000</v>
      </c>
    </row>
    <row r="25" spans="1:14">
      <c r="A25" s="4"/>
      <c r="B25" s="8"/>
      <c r="C25" s="57"/>
      <c r="D25" s="144"/>
      <c r="E25" s="118"/>
      <c r="F25" s="81"/>
    </row>
    <row r="26" spans="1:14">
      <c r="A26" s="4"/>
      <c r="B26" s="8"/>
      <c r="C26" s="57"/>
      <c r="D26" s="144"/>
      <c r="E26" s="118"/>
      <c r="F26" s="81"/>
    </row>
    <row r="27" spans="1:14" ht="13">
      <c r="A27" s="25"/>
      <c r="B27" s="148" t="s">
        <v>24</v>
      </c>
      <c r="C27" s="116"/>
      <c r="D27" s="149"/>
      <c r="E27" s="150"/>
      <c r="F27" s="81"/>
    </row>
    <row r="28" spans="1:14" ht="50">
      <c r="A28" s="4"/>
      <c r="B28" s="8" t="s">
        <v>440</v>
      </c>
      <c r="C28" s="57"/>
      <c r="D28" s="144"/>
      <c r="E28" s="118"/>
      <c r="F28" s="81"/>
      <c r="M28" s="17">
        <f>F28*I28</f>
        <v>0</v>
      </c>
      <c r="N28" s="17">
        <f>G28*I28</f>
        <v>0</v>
      </c>
    </row>
    <row r="29" spans="1:14">
      <c r="A29" s="4"/>
      <c r="B29" s="8"/>
      <c r="C29" s="57"/>
      <c r="D29" s="144"/>
      <c r="E29" s="118"/>
      <c r="F29" s="81"/>
      <c r="M29" s="17">
        <f>F29*I29</f>
        <v>0</v>
      </c>
      <c r="N29" s="17">
        <f>G29*I29</f>
        <v>0</v>
      </c>
    </row>
    <row r="30" spans="1:14" ht="88">
      <c r="A30" s="4"/>
      <c r="B30" s="8" t="s">
        <v>441</v>
      </c>
      <c r="C30" s="57"/>
      <c r="D30" s="144"/>
      <c r="E30" s="118"/>
      <c r="F30" s="81"/>
      <c r="M30" s="17">
        <f>F30*I30</f>
        <v>0</v>
      </c>
      <c r="N30" s="17">
        <f>G30*I30</f>
        <v>0</v>
      </c>
    </row>
    <row r="31" spans="1:14" ht="26">
      <c r="A31" s="4"/>
      <c r="B31" s="250" t="s">
        <v>442</v>
      </c>
      <c r="C31" s="57"/>
      <c r="D31" s="144"/>
      <c r="E31" s="118"/>
      <c r="F31" s="81"/>
      <c r="M31" s="17">
        <f>F31*I31</f>
        <v>0</v>
      </c>
      <c r="N31" s="17">
        <f>G31*I31</f>
        <v>0</v>
      </c>
    </row>
    <row r="32" spans="1:14">
      <c r="A32" s="6"/>
      <c r="B32" s="151"/>
      <c r="C32" s="116"/>
      <c r="D32" s="149"/>
      <c r="E32" s="150"/>
      <c r="F32" s="81"/>
    </row>
    <row r="33" spans="1:42" ht="13">
      <c r="A33" s="101"/>
      <c r="B33" s="152"/>
      <c r="C33" s="116"/>
      <c r="D33" s="149"/>
      <c r="E33" s="150"/>
      <c r="F33" s="154"/>
    </row>
    <row r="34" spans="1:42" s="234" customFormat="1" ht="14.5">
      <c r="A34" s="155" t="s">
        <v>276</v>
      </c>
      <c r="B34" s="156" t="s">
        <v>443</v>
      </c>
      <c r="C34" s="157" t="s">
        <v>9</v>
      </c>
      <c r="D34" s="158">
        <v>20</v>
      </c>
      <c r="E34" s="159">
        <f>[34]Rates!L115</f>
        <v>18560</v>
      </c>
      <c r="F34" s="160">
        <f>D34*E34</f>
        <v>371200</v>
      </c>
      <c r="G34" s="228"/>
      <c r="H34" s="229"/>
      <c r="I34" s="230"/>
      <c r="J34" s="229"/>
      <c r="K34" s="231"/>
      <c r="L34" s="232"/>
      <c r="M34" s="230"/>
      <c r="N34" s="229"/>
      <c r="O34" s="231"/>
      <c r="P34" s="232"/>
      <c r="Q34" s="230"/>
      <c r="R34" s="229"/>
      <c r="S34" s="231"/>
      <c r="T34" s="229">
        <f t="shared" ref="T34:T48" si="0">R34+P34</f>
        <v>0</v>
      </c>
      <c r="U34" s="230"/>
      <c r="V34" s="229"/>
      <c r="W34" s="231"/>
      <c r="X34" s="229">
        <f t="shared" ref="X34:X48" si="1">V34+T34</f>
        <v>0</v>
      </c>
      <c r="Y34" s="230"/>
      <c r="Z34" s="229"/>
      <c r="AA34" s="230">
        <f t="shared" ref="AA34:AB48" si="2">Y34+W34</f>
        <v>0</v>
      </c>
      <c r="AB34" s="229">
        <f t="shared" si="2"/>
        <v>0</v>
      </c>
      <c r="AC34" s="230"/>
      <c r="AD34" s="229">
        <f t="shared" ref="AD34:AD48" si="3">AC34*E34</f>
        <v>0</v>
      </c>
      <c r="AE34" s="230">
        <f t="shared" ref="AE34:AF48" si="4">AC34+AA34</f>
        <v>0</v>
      </c>
      <c r="AF34" s="229">
        <f t="shared" si="4"/>
        <v>0</v>
      </c>
      <c r="AG34" s="230"/>
      <c r="AH34" s="229">
        <f t="shared" ref="AH34:AH48" si="5">AG34*E34</f>
        <v>0</v>
      </c>
      <c r="AI34" s="230">
        <f t="shared" ref="AI34:AJ48" si="6">AG34+AE34</f>
        <v>0</v>
      </c>
      <c r="AJ34" s="229">
        <f t="shared" si="6"/>
        <v>0</v>
      </c>
      <c r="AK34" s="230"/>
      <c r="AL34" s="229">
        <f t="shared" ref="AL34:AL48" si="7">AK34*E34</f>
        <v>0</v>
      </c>
      <c r="AM34" s="230">
        <f t="shared" ref="AM34:AN45" si="8">AK34+AI34</f>
        <v>0</v>
      </c>
      <c r="AN34" s="229">
        <f t="shared" si="8"/>
        <v>0</v>
      </c>
      <c r="AO34" s="233"/>
      <c r="AP34" s="229">
        <f t="shared" ref="AP34:AP48" si="9">AO34*E34</f>
        <v>0</v>
      </c>
    </row>
    <row r="35" spans="1:42" s="241" customFormat="1" ht="14.5">
      <c r="A35" s="161"/>
      <c r="B35" s="162"/>
      <c r="C35" s="163"/>
      <c r="D35" s="164"/>
      <c r="E35" s="159">
        <f>[34]Rates!L116</f>
        <v>0</v>
      </c>
      <c r="F35" s="166"/>
      <c r="G35" s="235"/>
      <c r="H35" s="236"/>
      <c r="I35" s="237"/>
      <c r="J35" s="236"/>
      <c r="K35" s="238"/>
      <c r="L35" s="239"/>
      <c r="M35" s="237"/>
      <c r="N35" s="236"/>
      <c r="O35" s="238"/>
      <c r="P35" s="239"/>
      <c r="Q35" s="237"/>
      <c r="R35" s="236"/>
      <c r="S35" s="238"/>
      <c r="T35" s="236">
        <f t="shared" si="0"/>
        <v>0</v>
      </c>
      <c r="U35" s="237"/>
      <c r="V35" s="236"/>
      <c r="W35" s="238"/>
      <c r="X35" s="236">
        <f t="shared" si="1"/>
        <v>0</v>
      </c>
      <c r="Y35" s="237"/>
      <c r="Z35" s="236"/>
      <c r="AA35" s="237">
        <f t="shared" si="2"/>
        <v>0</v>
      </c>
      <c r="AB35" s="236">
        <f t="shared" si="2"/>
        <v>0</v>
      </c>
      <c r="AC35" s="237"/>
      <c r="AD35" s="236">
        <f t="shared" si="3"/>
        <v>0</v>
      </c>
      <c r="AE35" s="237">
        <f t="shared" si="4"/>
        <v>0</v>
      </c>
      <c r="AF35" s="236">
        <f t="shared" si="4"/>
        <v>0</v>
      </c>
      <c r="AG35" s="237"/>
      <c r="AH35" s="236">
        <f t="shared" si="5"/>
        <v>0</v>
      </c>
      <c r="AI35" s="237">
        <f t="shared" si="6"/>
        <v>0</v>
      </c>
      <c r="AJ35" s="236">
        <f t="shared" si="6"/>
        <v>0</v>
      </c>
      <c r="AK35" s="237"/>
      <c r="AL35" s="236">
        <f t="shared" si="7"/>
        <v>0</v>
      </c>
      <c r="AM35" s="237">
        <f t="shared" si="8"/>
        <v>0</v>
      </c>
      <c r="AN35" s="236">
        <f t="shared" si="8"/>
        <v>0</v>
      </c>
      <c r="AO35" s="240"/>
      <c r="AP35" s="236">
        <f t="shared" si="9"/>
        <v>0</v>
      </c>
    </row>
    <row r="36" spans="1:42" s="241" customFormat="1" ht="14.5">
      <c r="A36" s="161" t="s">
        <v>278</v>
      </c>
      <c r="B36" s="167" t="s">
        <v>444</v>
      </c>
      <c r="C36" s="168" t="s">
        <v>9</v>
      </c>
      <c r="D36" s="158">
        <v>820</v>
      </c>
      <c r="E36" s="159">
        <f>[34]Rates!L117</f>
        <v>19260</v>
      </c>
      <c r="F36" s="170">
        <f>D36*E36</f>
        <v>15793200</v>
      </c>
      <c r="G36" s="235"/>
      <c r="H36" s="236"/>
      <c r="I36" s="237"/>
      <c r="J36" s="236"/>
      <c r="K36" s="238"/>
      <c r="L36" s="239"/>
      <c r="M36" s="237"/>
      <c r="N36" s="236"/>
      <c r="O36" s="238"/>
      <c r="P36" s="239"/>
      <c r="Q36" s="237"/>
      <c r="R36" s="236"/>
      <c r="S36" s="238"/>
      <c r="T36" s="236">
        <f t="shared" si="0"/>
        <v>0</v>
      </c>
      <c r="U36" s="237"/>
      <c r="V36" s="236"/>
      <c r="W36" s="238"/>
      <c r="X36" s="236">
        <f t="shared" si="1"/>
        <v>0</v>
      </c>
      <c r="Y36" s="237"/>
      <c r="Z36" s="236"/>
      <c r="AA36" s="237">
        <f t="shared" si="2"/>
        <v>0</v>
      </c>
      <c r="AB36" s="236">
        <f t="shared" si="2"/>
        <v>0</v>
      </c>
      <c r="AC36" s="237"/>
      <c r="AD36" s="236">
        <f t="shared" si="3"/>
        <v>0</v>
      </c>
      <c r="AE36" s="237">
        <f t="shared" si="4"/>
        <v>0</v>
      </c>
      <c r="AF36" s="236">
        <f t="shared" si="4"/>
        <v>0</v>
      </c>
      <c r="AG36" s="237"/>
      <c r="AH36" s="236">
        <f t="shared" si="5"/>
        <v>0</v>
      </c>
      <c r="AI36" s="237">
        <f t="shared" si="6"/>
        <v>0</v>
      </c>
      <c r="AJ36" s="236">
        <f t="shared" si="6"/>
        <v>0</v>
      </c>
      <c r="AK36" s="237"/>
      <c r="AL36" s="236">
        <f t="shared" si="7"/>
        <v>0</v>
      </c>
      <c r="AM36" s="237">
        <f t="shared" si="8"/>
        <v>0</v>
      </c>
      <c r="AN36" s="236">
        <f t="shared" si="8"/>
        <v>0</v>
      </c>
      <c r="AO36" s="240"/>
      <c r="AP36" s="236">
        <f t="shared" si="9"/>
        <v>0</v>
      </c>
    </row>
    <row r="37" spans="1:42" s="241" customFormat="1" ht="14.5">
      <c r="A37" s="161"/>
      <c r="B37" s="162"/>
      <c r="C37" s="163"/>
      <c r="D37" s="158"/>
      <c r="E37" s="159">
        <f>[34]Rates!L118</f>
        <v>0</v>
      </c>
      <c r="F37" s="166"/>
      <c r="G37" s="235"/>
      <c r="H37" s="236"/>
      <c r="I37" s="237"/>
      <c r="J37" s="236"/>
      <c r="K37" s="238"/>
      <c r="L37" s="239"/>
      <c r="M37" s="237"/>
      <c r="N37" s="236"/>
      <c r="O37" s="238"/>
      <c r="P37" s="239"/>
      <c r="Q37" s="237"/>
      <c r="R37" s="236"/>
      <c r="S37" s="238"/>
      <c r="T37" s="236">
        <f t="shared" si="0"/>
        <v>0</v>
      </c>
      <c r="U37" s="237"/>
      <c r="V37" s="236"/>
      <c r="W37" s="238"/>
      <c r="X37" s="236">
        <f t="shared" si="1"/>
        <v>0</v>
      </c>
      <c r="Y37" s="237"/>
      <c r="Z37" s="236"/>
      <c r="AA37" s="237">
        <f t="shared" si="2"/>
        <v>0</v>
      </c>
      <c r="AB37" s="236">
        <f t="shared" si="2"/>
        <v>0</v>
      </c>
      <c r="AC37" s="237"/>
      <c r="AD37" s="236">
        <f t="shared" si="3"/>
        <v>0</v>
      </c>
      <c r="AE37" s="237">
        <f t="shared" si="4"/>
        <v>0</v>
      </c>
      <c r="AF37" s="236">
        <f t="shared" si="4"/>
        <v>0</v>
      </c>
      <c r="AG37" s="237"/>
      <c r="AH37" s="236">
        <f t="shared" si="5"/>
        <v>0</v>
      </c>
      <c r="AI37" s="237">
        <f t="shared" si="6"/>
        <v>0</v>
      </c>
      <c r="AJ37" s="236">
        <f t="shared" si="6"/>
        <v>0</v>
      </c>
      <c r="AK37" s="237"/>
      <c r="AL37" s="236">
        <f t="shared" si="7"/>
        <v>0</v>
      </c>
      <c r="AM37" s="237">
        <f t="shared" si="8"/>
        <v>0</v>
      </c>
      <c r="AN37" s="236">
        <f t="shared" si="8"/>
        <v>0</v>
      </c>
      <c r="AO37" s="240"/>
      <c r="AP37" s="236">
        <f t="shared" si="9"/>
        <v>0</v>
      </c>
    </row>
    <row r="38" spans="1:42" s="241" customFormat="1" ht="14.5">
      <c r="A38" s="161" t="s">
        <v>280</v>
      </c>
      <c r="B38" s="167" t="s">
        <v>281</v>
      </c>
      <c r="C38" s="168" t="s">
        <v>9</v>
      </c>
      <c r="D38" s="158">
        <v>950</v>
      </c>
      <c r="E38" s="159">
        <f>[34]Rates!L119</f>
        <v>19500</v>
      </c>
      <c r="F38" s="170">
        <f>D38*E38</f>
        <v>18525000</v>
      </c>
      <c r="G38" s="235"/>
      <c r="H38" s="236"/>
      <c r="I38" s="237"/>
      <c r="J38" s="236"/>
      <c r="K38" s="238"/>
      <c r="L38" s="239"/>
      <c r="M38" s="237">
        <v>570</v>
      </c>
      <c r="N38" s="236">
        <f t="shared" ref="N38:N44" si="10">M38*E38</f>
        <v>11115000</v>
      </c>
      <c r="O38" s="238">
        <f t="shared" ref="O38:O45" si="11">M38+K38</f>
        <v>570</v>
      </c>
      <c r="P38" s="239">
        <f>O38*E38</f>
        <v>11115000</v>
      </c>
      <c r="Q38" s="237"/>
      <c r="R38" s="236">
        <f t="shared" ref="R38:R43" si="12">Q38*I38</f>
        <v>0</v>
      </c>
      <c r="S38" s="238">
        <f t="shared" ref="S38:S46" si="13">Q38+O38</f>
        <v>570</v>
      </c>
      <c r="T38" s="236">
        <f t="shared" si="0"/>
        <v>11115000</v>
      </c>
      <c r="U38" s="237"/>
      <c r="V38" s="236">
        <f>U38*M38</f>
        <v>0</v>
      </c>
      <c r="W38" s="238">
        <f t="shared" ref="W38:W46" si="14">U38+S38</f>
        <v>570</v>
      </c>
      <c r="X38" s="236">
        <f t="shared" si="1"/>
        <v>11115000</v>
      </c>
      <c r="Y38" s="237"/>
      <c r="Z38" s="236">
        <f>Y38*Q38</f>
        <v>0</v>
      </c>
      <c r="AA38" s="237">
        <f t="shared" si="2"/>
        <v>570</v>
      </c>
      <c r="AB38" s="236">
        <f t="shared" si="2"/>
        <v>11115000</v>
      </c>
      <c r="AC38" s="237">
        <v>500</v>
      </c>
      <c r="AD38" s="236">
        <f t="shared" si="3"/>
        <v>9750000</v>
      </c>
      <c r="AE38" s="237">
        <f t="shared" si="4"/>
        <v>1070</v>
      </c>
      <c r="AF38" s="236">
        <f t="shared" si="4"/>
        <v>20865000</v>
      </c>
      <c r="AG38" s="237">
        <v>970</v>
      </c>
      <c r="AH38" s="236">
        <f t="shared" si="5"/>
        <v>18915000</v>
      </c>
      <c r="AI38" s="237">
        <f t="shared" si="6"/>
        <v>2040</v>
      </c>
      <c r="AJ38" s="236">
        <f t="shared" si="6"/>
        <v>39780000</v>
      </c>
      <c r="AK38" s="237"/>
      <c r="AL38" s="236">
        <f t="shared" si="7"/>
        <v>0</v>
      </c>
      <c r="AM38" s="237">
        <f t="shared" si="8"/>
        <v>2040</v>
      </c>
      <c r="AN38" s="236">
        <f t="shared" si="8"/>
        <v>39780000</v>
      </c>
      <c r="AO38" s="240"/>
      <c r="AP38" s="236">
        <f t="shared" si="9"/>
        <v>0</v>
      </c>
    </row>
    <row r="39" spans="1:42" s="241" customFormat="1" ht="14.5">
      <c r="A39" s="161"/>
      <c r="B39" s="162"/>
      <c r="C39" s="163"/>
      <c r="D39" s="158"/>
      <c r="E39" s="159">
        <f>[34]Rates!L120</f>
        <v>0</v>
      </c>
      <c r="F39" s="166"/>
      <c r="G39" s="235"/>
      <c r="H39" s="236"/>
      <c r="I39" s="237"/>
      <c r="J39" s="236"/>
      <c r="K39" s="238"/>
      <c r="L39" s="239"/>
      <c r="M39" s="237"/>
      <c r="N39" s="236">
        <f t="shared" si="10"/>
        <v>0</v>
      </c>
      <c r="O39" s="238">
        <f t="shared" si="11"/>
        <v>0</v>
      </c>
      <c r="P39" s="239">
        <f t="shared" ref="P39:P44" si="15">O39*E39</f>
        <v>0</v>
      </c>
      <c r="Q39" s="237"/>
      <c r="R39" s="236">
        <f t="shared" si="12"/>
        <v>0</v>
      </c>
      <c r="S39" s="238">
        <f t="shared" si="13"/>
        <v>0</v>
      </c>
      <c r="T39" s="236">
        <f t="shared" si="0"/>
        <v>0</v>
      </c>
      <c r="U39" s="237"/>
      <c r="V39" s="236">
        <f>U39*M39</f>
        <v>0</v>
      </c>
      <c r="W39" s="238">
        <f t="shared" si="14"/>
        <v>0</v>
      </c>
      <c r="X39" s="236">
        <f t="shared" si="1"/>
        <v>0</v>
      </c>
      <c r="Y39" s="237"/>
      <c r="Z39" s="236">
        <f>Y39*Q39</f>
        <v>0</v>
      </c>
      <c r="AA39" s="237">
        <f t="shared" si="2"/>
        <v>0</v>
      </c>
      <c r="AB39" s="236">
        <f t="shared" si="2"/>
        <v>0</v>
      </c>
      <c r="AC39" s="237"/>
      <c r="AD39" s="236">
        <f t="shared" si="3"/>
        <v>0</v>
      </c>
      <c r="AE39" s="237">
        <f t="shared" si="4"/>
        <v>0</v>
      </c>
      <c r="AF39" s="236">
        <f t="shared" si="4"/>
        <v>0</v>
      </c>
      <c r="AG39" s="237"/>
      <c r="AH39" s="236">
        <f t="shared" si="5"/>
        <v>0</v>
      </c>
      <c r="AI39" s="237">
        <f t="shared" si="6"/>
        <v>0</v>
      </c>
      <c r="AJ39" s="236">
        <f t="shared" si="6"/>
        <v>0</v>
      </c>
      <c r="AK39" s="237"/>
      <c r="AL39" s="236">
        <f t="shared" si="7"/>
        <v>0</v>
      </c>
      <c r="AM39" s="237">
        <f t="shared" si="8"/>
        <v>0</v>
      </c>
      <c r="AN39" s="236">
        <f t="shared" si="8"/>
        <v>0</v>
      </c>
      <c r="AO39" s="240"/>
      <c r="AP39" s="236">
        <f t="shared" si="9"/>
        <v>0</v>
      </c>
    </row>
    <row r="40" spans="1:42" s="241" customFormat="1" ht="14.5">
      <c r="A40" s="161" t="s">
        <v>282</v>
      </c>
      <c r="B40" s="167" t="s">
        <v>283</v>
      </c>
      <c r="C40" s="168" t="s">
        <v>9</v>
      </c>
      <c r="D40" s="158">
        <v>1110</v>
      </c>
      <c r="E40" s="159">
        <f>[34]Rates!L121</f>
        <v>19810</v>
      </c>
      <c r="F40" s="170">
        <f>D40*E40</f>
        <v>21989100</v>
      </c>
      <c r="G40" s="235"/>
      <c r="H40" s="236"/>
      <c r="I40" s="237"/>
      <c r="J40" s="236"/>
      <c r="K40" s="238"/>
      <c r="L40" s="239"/>
      <c r="M40" s="237">
        <v>1220</v>
      </c>
      <c r="N40" s="236">
        <f t="shared" si="10"/>
        <v>24168200</v>
      </c>
      <c r="O40" s="238">
        <f t="shared" si="11"/>
        <v>1220</v>
      </c>
      <c r="P40" s="239">
        <f t="shared" si="15"/>
        <v>24168200</v>
      </c>
      <c r="Q40" s="237">
        <v>500</v>
      </c>
      <c r="R40" s="236">
        <f>Q40*E40</f>
        <v>9905000</v>
      </c>
      <c r="S40" s="238">
        <f t="shared" si="13"/>
        <v>1720</v>
      </c>
      <c r="T40" s="236">
        <f t="shared" si="0"/>
        <v>34073200</v>
      </c>
      <c r="U40" s="237"/>
      <c r="V40" s="236">
        <f>U40*I40</f>
        <v>0</v>
      </c>
      <c r="W40" s="238">
        <f t="shared" si="14"/>
        <v>1720</v>
      </c>
      <c r="X40" s="236">
        <f t="shared" si="1"/>
        <v>34073200</v>
      </c>
      <c r="Y40" s="237">
        <v>1000</v>
      </c>
      <c r="Z40" s="236">
        <f>Y40*E40</f>
        <v>19810000</v>
      </c>
      <c r="AA40" s="237">
        <f t="shared" si="2"/>
        <v>2720</v>
      </c>
      <c r="AB40" s="236">
        <f t="shared" si="2"/>
        <v>53883200</v>
      </c>
      <c r="AC40" s="237">
        <v>1000</v>
      </c>
      <c r="AD40" s="236">
        <f t="shared" si="3"/>
        <v>19810000</v>
      </c>
      <c r="AE40" s="237">
        <f t="shared" si="4"/>
        <v>3720</v>
      </c>
      <c r="AF40" s="236">
        <f t="shared" si="4"/>
        <v>73693200</v>
      </c>
      <c r="AG40" s="237"/>
      <c r="AH40" s="236">
        <f t="shared" si="5"/>
        <v>0</v>
      </c>
      <c r="AI40" s="237">
        <f t="shared" si="6"/>
        <v>3720</v>
      </c>
      <c r="AJ40" s="236">
        <f t="shared" si="6"/>
        <v>73693200</v>
      </c>
      <c r="AK40" s="237"/>
      <c r="AL40" s="236">
        <f t="shared" si="7"/>
        <v>0</v>
      </c>
      <c r="AM40" s="237">
        <f t="shared" si="8"/>
        <v>3720</v>
      </c>
      <c r="AN40" s="236">
        <f t="shared" si="8"/>
        <v>73693200</v>
      </c>
      <c r="AO40" s="240">
        <v>95</v>
      </c>
      <c r="AP40" s="236">
        <f t="shared" si="9"/>
        <v>1881950</v>
      </c>
    </row>
    <row r="41" spans="1:42" s="241" customFormat="1" ht="14.5">
      <c r="A41" s="161"/>
      <c r="B41" s="162"/>
      <c r="C41" s="163"/>
      <c r="D41" s="158"/>
      <c r="E41" s="159">
        <f>[34]Rates!L122</f>
        <v>0</v>
      </c>
      <c r="F41" s="166"/>
      <c r="G41" s="235"/>
      <c r="H41" s="236"/>
      <c r="I41" s="237"/>
      <c r="J41" s="236"/>
      <c r="K41" s="238"/>
      <c r="L41" s="239"/>
      <c r="M41" s="237"/>
      <c r="N41" s="236">
        <f t="shared" si="10"/>
        <v>0</v>
      </c>
      <c r="O41" s="238">
        <f t="shared" si="11"/>
        <v>0</v>
      </c>
      <c r="P41" s="239">
        <f t="shared" si="15"/>
        <v>0</v>
      </c>
      <c r="Q41" s="237"/>
      <c r="R41" s="236">
        <f t="shared" si="12"/>
        <v>0</v>
      </c>
      <c r="S41" s="238">
        <f t="shared" si="13"/>
        <v>0</v>
      </c>
      <c r="T41" s="236">
        <f t="shared" si="0"/>
        <v>0</v>
      </c>
      <c r="U41" s="237"/>
      <c r="V41" s="236">
        <f>U41*M41</f>
        <v>0</v>
      </c>
      <c r="W41" s="238">
        <f t="shared" si="14"/>
        <v>0</v>
      </c>
      <c r="X41" s="236">
        <f t="shared" si="1"/>
        <v>0</v>
      </c>
      <c r="Y41" s="237"/>
      <c r="Z41" s="236">
        <f>Y41*Q41</f>
        <v>0</v>
      </c>
      <c r="AA41" s="237">
        <f t="shared" si="2"/>
        <v>0</v>
      </c>
      <c r="AB41" s="236">
        <f t="shared" si="2"/>
        <v>0</v>
      </c>
      <c r="AC41" s="237"/>
      <c r="AD41" s="236">
        <f t="shared" si="3"/>
        <v>0</v>
      </c>
      <c r="AE41" s="237">
        <f t="shared" si="4"/>
        <v>0</v>
      </c>
      <c r="AF41" s="236">
        <f t="shared" si="4"/>
        <v>0</v>
      </c>
      <c r="AG41" s="237"/>
      <c r="AH41" s="236">
        <f t="shared" si="5"/>
        <v>0</v>
      </c>
      <c r="AI41" s="237">
        <f t="shared" si="6"/>
        <v>0</v>
      </c>
      <c r="AJ41" s="236">
        <f t="shared" si="6"/>
        <v>0</v>
      </c>
      <c r="AK41" s="237"/>
      <c r="AL41" s="236">
        <f t="shared" si="7"/>
        <v>0</v>
      </c>
      <c r="AM41" s="237">
        <f t="shared" si="8"/>
        <v>0</v>
      </c>
      <c r="AN41" s="236">
        <f t="shared" si="8"/>
        <v>0</v>
      </c>
      <c r="AO41" s="240"/>
      <c r="AP41" s="236">
        <f t="shared" si="9"/>
        <v>0</v>
      </c>
    </row>
    <row r="42" spans="1:42" s="241" customFormat="1" ht="14.5">
      <c r="A42" s="161" t="s">
        <v>284</v>
      </c>
      <c r="B42" s="167" t="s">
        <v>285</v>
      </c>
      <c r="C42" s="168" t="s">
        <v>9</v>
      </c>
      <c r="D42" s="158">
        <v>1210</v>
      </c>
      <c r="E42" s="159">
        <f>[34]Rates!L123</f>
        <v>20310</v>
      </c>
      <c r="F42" s="170">
        <f>D42*E42</f>
        <v>24575100</v>
      </c>
      <c r="G42" s="235"/>
      <c r="H42" s="236"/>
      <c r="I42" s="237"/>
      <c r="J42" s="236"/>
      <c r="K42" s="238"/>
      <c r="L42" s="239"/>
      <c r="M42" s="237">
        <v>440</v>
      </c>
      <c r="N42" s="236">
        <f t="shared" si="10"/>
        <v>8936400</v>
      </c>
      <c r="O42" s="238">
        <f t="shared" si="11"/>
        <v>440</v>
      </c>
      <c r="P42" s="239">
        <f t="shared" si="15"/>
        <v>8936400</v>
      </c>
      <c r="Q42" s="237">
        <v>934</v>
      </c>
      <c r="R42" s="236">
        <f>Q42*E42</f>
        <v>18969540</v>
      </c>
      <c r="S42" s="238">
        <f t="shared" si="13"/>
        <v>1374</v>
      </c>
      <c r="T42" s="236">
        <f t="shared" si="0"/>
        <v>27905940</v>
      </c>
      <c r="U42" s="237"/>
      <c r="V42" s="236">
        <f>U42*I42</f>
        <v>0</v>
      </c>
      <c r="W42" s="238">
        <f t="shared" si="14"/>
        <v>1374</v>
      </c>
      <c r="X42" s="236">
        <f t="shared" si="1"/>
        <v>27905940</v>
      </c>
      <c r="Y42" s="237"/>
      <c r="Z42" s="236">
        <f>Y42*M42</f>
        <v>0</v>
      </c>
      <c r="AA42" s="237">
        <f t="shared" si="2"/>
        <v>1374</v>
      </c>
      <c r="AB42" s="236">
        <f t="shared" si="2"/>
        <v>27905940</v>
      </c>
      <c r="AC42" s="237"/>
      <c r="AD42" s="236">
        <f t="shared" si="3"/>
        <v>0</v>
      </c>
      <c r="AE42" s="237">
        <f t="shared" si="4"/>
        <v>1374</v>
      </c>
      <c r="AF42" s="236">
        <f t="shared" si="4"/>
        <v>27905940</v>
      </c>
      <c r="AG42" s="237">
        <v>585</v>
      </c>
      <c r="AH42" s="236">
        <f t="shared" si="5"/>
        <v>11881350</v>
      </c>
      <c r="AI42" s="237">
        <f t="shared" si="6"/>
        <v>1959</v>
      </c>
      <c r="AJ42" s="236">
        <f t="shared" si="6"/>
        <v>39787290</v>
      </c>
      <c r="AK42" s="237"/>
      <c r="AL42" s="236">
        <f t="shared" si="7"/>
        <v>0</v>
      </c>
      <c r="AM42" s="237">
        <f t="shared" si="8"/>
        <v>1959</v>
      </c>
      <c r="AN42" s="236">
        <f t="shared" si="8"/>
        <v>39787290</v>
      </c>
      <c r="AO42" s="240">
        <v>85</v>
      </c>
      <c r="AP42" s="236">
        <f t="shared" si="9"/>
        <v>1726350</v>
      </c>
    </row>
    <row r="43" spans="1:42" s="241" customFormat="1" ht="14.5">
      <c r="A43" s="161"/>
      <c r="B43" s="162"/>
      <c r="C43" s="163"/>
      <c r="D43" s="158"/>
      <c r="E43" s="159">
        <f>[34]Rates!L124</f>
        <v>0</v>
      </c>
      <c r="F43" s="166"/>
      <c r="G43" s="235"/>
      <c r="H43" s="236"/>
      <c r="I43" s="237"/>
      <c r="J43" s="236"/>
      <c r="K43" s="238"/>
      <c r="L43" s="239"/>
      <c r="M43" s="237"/>
      <c r="N43" s="236">
        <f t="shared" si="10"/>
        <v>0</v>
      </c>
      <c r="O43" s="238">
        <f t="shared" si="11"/>
        <v>0</v>
      </c>
      <c r="P43" s="239">
        <f t="shared" si="15"/>
        <v>0</v>
      </c>
      <c r="Q43" s="237"/>
      <c r="R43" s="236">
        <f t="shared" si="12"/>
        <v>0</v>
      </c>
      <c r="S43" s="238">
        <f t="shared" si="13"/>
        <v>0</v>
      </c>
      <c r="T43" s="236">
        <f t="shared" si="0"/>
        <v>0</v>
      </c>
      <c r="U43" s="237"/>
      <c r="V43" s="236">
        <f>U43*M43</f>
        <v>0</v>
      </c>
      <c r="W43" s="238">
        <f t="shared" si="14"/>
        <v>0</v>
      </c>
      <c r="X43" s="236">
        <f t="shared" si="1"/>
        <v>0</v>
      </c>
      <c r="Y43" s="237"/>
      <c r="Z43" s="236">
        <f>Y43*Q43</f>
        <v>0</v>
      </c>
      <c r="AA43" s="237">
        <f t="shared" si="2"/>
        <v>0</v>
      </c>
      <c r="AB43" s="236">
        <f t="shared" si="2"/>
        <v>0</v>
      </c>
      <c r="AC43" s="237"/>
      <c r="AD43" s="236">
        <f t="shared" si="3"/>
        <v>0</v>
      </c>
      <c r="AE43" s="237">
        <f t="shared" si="4"/>
        <v>0</v>
      </c>
      <c r="AF43" s="236">
        <f t="shared" si="4"/>
        <v>0</v>
      </c>
      <c r="AG43" s="237"/>
      <c r="AH43" s="236">
        <f t="shared" si="5"/>
        <v>0</v>
      </c>
      <c r="AI43" s="237">
        <f t="shared" si="6"/>
        <v>0</v>
      </c>
      <c r="AJ43" s="236">
        <f t="shared" si="6"/>
        <v>0</v>
      </c>
      <c r="AK43" s="237"/>
      <c r="AL43" s="236">
        <f t="shared" si="7"/>
        <v>0</v>
      </c>
      <c r="AM43" s="237">
        <f t="shared" si="8"/>
        <v>0</v>
      </c>
      <c r="AN43" s="236">
        <f t="shared" si="8"/>
        <v>0</v>
      </c>
      <c r="AO43" s="240"/>
      <c r="AP43" s="236">
        <f t="shared" si="9"/>
        <v>0</v>
      </c>
    </row>
    <row r="44" spans="1:42" s="241" customFormat="1" ht="14.5">
      <c r="A44" s="161" t="s">
        <v>286</v>
      </c>
      <c r="B44" s="167" t="s">
        <v>287</v>
      </c>
      <c r="C44" s="168" t="s">
        <v>9</v>
      </c>
      <c r="D44" s="158">
        <v>760</v>
      </c>
      <c r="E44" s="159">
        <f>[34]Rates!L125</f>
        <v>20660</v>
      </c>
      <c r="F44" s="170">
        <f>D44*E44</f>
        <v>15701600</v>
      </c>
      <c r="G44" s="235"/>
      <c r="H44" s="236"/>
      <c r="I44" s="237"/>
      <c r="J44" s="236"/>
      <c r="K44" s="238"/>
      <c r="L44" s="239"/>
      <c r="M44" s="237">
        <v>160</v>
      </c>
      <c r="N44" s="236">
        <f t="shared" si="10"/>
        <v>3305600</v>
      </c>
      <c r="O44" s="238">
        <f t="shared" si="11"/>
        <v>160</v>
      </c>
      <c r="P44" s="239">
        <f t="shared" si="15"/>
        <v>3305600</v>
      </c>
      <c r="Q44" s="237"/>
      <c r="R44" s="236">
        <f>Q44*E44</f>
        <v>0</v>
      </c>
      <c r="S44" s="238">
        <f t="shared" si="13"/>
        <v>160</v>
      </c>
      <c r="T44" s="236">
        <f t="shared" si="0"/>
        <v>3305600</v>
      </c>
      <c r="U44" s="237"/>
      <c r="V44" s="236">
        <f>U44*I44</f>
        <v>0</v>
      </c>
      <c r="W44" s="238">
        <f t="shared" si="14"/>
        <v>160</v>
      </c>
      <c r="X44" s="236">
        <f t="shared" si="1"/>
        <v>3305600</v>
      </c>
      <c r="Y44" s="237"/>
      <c r="Z44" s="236">
        <f>Y44*M44</f>
        <v>0</v>
      </c>
      <c r="AA44" s="237">
        <f t="shared" si="2"/>
        <v>160</v>
      </c>
      <c r="AB44" s="236">
        <f t="shared" si="2"/>
        <v>3305600</v>
      </c>
      <c r="AC44" s="237"/>
      <c r="AD44" s="236">
        <f t="shared" si="3"/>
        <v>0</v>
      </c>
      <c r="AE44" s="237">
        <f t="shared" si="4"/>
        <v>160</v>
      </c>
      <c r="AF44" s="236">
        <f t="shared" si="4"/>
        <v>3305600</v>
      </c>
      <c r="AG44" s="237">
        <v>385</v>
      </c>
      <c r="AH44" s="236">
        <f t="shared" si="5"/>
        <v>7954100</v>
      </c>
      <c r="AI44" s="237">
        <f t="shared" si="6"/>
        <v>545</v>
      </c>
      <c r="AJ44" s="236">
        <f t="shared" si="6"/>
        <v>11259700</v>
      </c>
      <c r="AK44" s="237"/>
      <c r="AL44" s="236">
        <f t="shared" si="7"/>
        <v>0</v>
      </c>
      <c r="AM44" s="237">
        <f t="shared" si="8"/>
        <v>545</v>
      </c>
      <c r="AN44" s="236">
        <f t="shared" si="8"/>
        <v>11259700</v>
      </c>
      <c r="AO44" s="240"/>
      <c r="AP44" s="236">
        <f t="shared" si="9"/>
        <v>0</v>
      </c>
    </row>
    <row r="45" spans="1:42" s="241" customFormat="1" ht="14.5">
      <c r="A45" s="161"/>
      <c r="B45" s="167"/>
      <c r="C45" s="168"/>
      <c r="D45" s="158"/>
      <c r="E45" s="159"/>
      <c r="F45" s="170"/>
      <c r="G45" s="235"/>
      <c r="H45" s="236"/>
      <c r="I45" s="237"/>
      <c r="J45" s="236"/>
      <c r="K45" s="238"/>
      <c r="L45" s="239"/>
      <c r="M45" s="237"/>
      <c r="N45" s="236"/>
      <c r="O45" s="238">
        <f t="shared" si="11"/>
        <v>0</v>
      </c>
      <c r="P45" s="239"/>
      <c r="Q45" s="237"/>
      <c r="R45" s="236"/>
      <c r="S45" s="238">
        <f t="shared" si="13"/>
        <v>0</v>
      </c>
      <c r="T45" s="236">
        <f t="shared" si="0"/>
        <v>0</v>
      </c>
      <c r="U45" s="237"/>
      <c r="V45" s="236"/>
      <c r="W45" s="238">
        <f t="shared" si="14"/>
        <v>0</v>
      </c>
      <c r="X45" s="236">
        <f t="shared" si="1"/>
        <v>0</v>
      </c>
      <c r="Y45" s="237"/>
      <c r="Z45" s="236"/>
      <c r="AA45" s="237">
        <f t="shared" si="2"/>
        <v>0</v>
      </c>
      <c r="AB45" s="236">
        <f t="shared" si="2"/>
        <v>0</v>
      </c>
      <c r="AC45" s="237"/>
      <c r="AD45" s="236">
        <f t="shared" si="3"/>
        <v>0</v>
      </c>
      <c r="AE45" s="237">
        <f t="shared" si="4"/>
        <v>0</v>
      </c>
      <c r="AF45" s="236">
        <f t="shared" si="4"/>
        <v>0</v>
      </c>
      <c r="AG45" s="237"/>
      <c r="AH45" s="236">
        <f t="shared" si="5"/>
        <v>0</v>
      </c>
      <c r="AI45" s="237">
        <f t="shared" si="6"/>
        <v>0</v>
      </c>
      <c r="AJ45" s="236">
        <f t="shared" si="6"/>
        <v>0</v>
      </c>
      <c r="AK45" s="237"/>
      <c r="AL45" s="236">
        <f t="shared" si="7"/>
        <v>0</v>
      </c>
      <c r="AM45" s="237"/>
      <c r="AN45" s="236">
        <f t="shared" si="8"/>
        <v>0</v>
      </c>
      <c r="AO45" s="240"/>
      <c r="AP45" s="236">
        <f t="shared" si="9"/>
        <v>0</v>
      </c>
    </row>
    <row r="46" spans="1:42" s="241" customFormat="1" ht="14.5">
      <c r="A46" s="161" t="s">
        <v>288</v>
      </c>
      <c r="B46" s="167" t="s">
        <v>289</v>
      </c>
      <c r="C46" s="168" t="s">
        <v>9</v>
      </c>
      <c r="D46" s="158">
        <v>200</v>
      </c>
      <c r="E46" s="159">
        <f>[34]Rates!L127</f>
        <v>20360</v>
      </c>
      <c r="F46" s="170">
        <f>D46*E46</f>
        <v>4072000</v>
      </c>
      <c r="G46" s="235"/>
      <c r="H46" s="236"/>
      <c r="I46" s="237"/>
      <c r="J46" s="236"/>
      <c r="K46" s="238"/>
      <c r="L46" s="239"/>
      <c r="M46" s="237"/>
      <c r="N46" s="236"/>
      <c r="O46" s="238"/>
      <c r="P46" s="239"/>
      <c r="Q46" s="237"/>
      <c r="R46" s="236">
        <f>Q46*E46</f>
        <v>0</v>
      </c>
      <c r="S46" s="238">
        <f t="shared" si="13"/>
        <v>0</v>
      </c>
      <c r="T46" s="236">
        <f t="shared" si="0"/>
        <v>0</v>
      </c>
      <c r="U46" s="237"/>
      <c r="V46" s="236">
        <f>U46*I46</f>
        <v>0</v>
      </c>
      <c r="W46" s="238">
        <f t="shared" si="14"/>
        <v>0</v>
      </c>
      <c r="X46" s="236">
        <f t="shared" si="1"/>
        <v>0</v>
      </c>
      <c r="Y46" s="237"/>
      <c r="Z46" s="236">
        <f>Y46*M46</f>
        <v>0</v>
      </c>
      <c r="AA46" s="237">
        <f t="shared" si="2"/>
        <v>0</v>
      </c>
      <c r="AB46" s="236">
        <f t="shared" si="2"/>
        <v>0</v>
      </c>
      <c r="AC46" s="237"/>
      <c r="AD46" s="236">
        <f t="shared" si="3"/>
        <v>0</v>
      </c>
      <c r="AE46" s="237">
        <f t="shared" si="4"/>
        <v>0</v>
      </c>
      <c r="AF46" s="236">
        <f t="shared" si="4"/>
        <v>0</v>
      </c>
      <c r="AG46" s="237"/>
      <c r="AH46" s="236">
        <f t="shared" si="5"/>
        <v>0</v>
      </c>
      <c r="AI46" s="237">
        <f t="shared" si="6"/>
        <v>0</v>
      </c>
      <c r="AJ46" s="236">
        <f t="shared" si="6"/>
        <v>0</v>
      </c>
      <c r="AK46" s="237"/>
      <c r="AL46" s="236">
        <f t="shared" si="7"/>
        <v>0</v>
      </c>
      <c r="AM46" s="237">
        <f t="shared" ref="AM46:AN48" si="16">AK46+AI46</f>
        <v>0</v>
      </c>
      <c r="AN46" s="236">
        <f t="shared" si="16"/>
        <v>0</v>
      </c>
      <c r="AO46" s="240"/>
      <c r="AP46" s="236">
        <f t="shared" si="9"/>
        <v>0</v>
      </c>
    </row>
    <row r="47" spans="1:42" s="241" customFormat="1" ht="10.5" customHeight="1">
      <c r="A47" s="161"/>
      <c r="B47" s="162"/>
      <c r="C47" s="163"/>
      <c r="D47" s="158"/>
      <c r="E47" s="159"/>
      <c r="F47" s="166"/>
      <c r="G47" s="235"/>
      <c r="H47" s="236"/>
      <c r="I47" s="237"/>
      <c r="J47" s="236"/>
      <c r="K47" s="238"/>
      <c r="L47" s="239"/>
      <c r="M47" s="237"/>
      <c r="N47" s="236"/>
      <c r="O47" s="238"/>
      <c r="P47" s="239"/>
      <c r="Q47" s="237"/>
      <c r="R47" s="236"/>
      <c r="S47" s="238"/>
      <c r="T47" s="236">
        <f t="shared" si="0"/>
        <v>0</v>
      </c>
      <c r="U47" s="237"/>
      <c r="V47" s="236"/>
      <c r="W47" s="238"/>
      <c r="X47" s="236">
        <f t="shared" si="1"/>
        <v>0</v>
      </c>
      <c r="Y47" s="237"/>
      <c r="Z47" s="236"/>
      <c r="AA47" s="237">
        <f t="shared" si="2"/>
        <v>0</v>
      </c>
      <c r="AB47" s="236">
        <f t="shared" si="2"/>
        <v>0</v>
      </c>
      <c r="AC47" s="237"/>
      <c r="AD47" s="236">
        <f t="shared" si="3"/>
        <v>0</v>
      </c>
      <c r="AE47" s="237">
        <f t="shared" si="4"/>
        <v>0</v>
      </c>
      <c r="AF47" s="236">
        <f t="shared" si="4"/>
        <v>0</v>
      </c>
      <c r="AG47" s="237"/>
      <c r="AH47" s="236">
        <f t="shared" si="5"/>
        <v>0</v>
      </c>
      <c r="AI47" s="237">
        <f t="shared" si="6"/>
        <v>0</v>
      </c>
      <c r="AJ47" s="236">
        <f t="shared" si="6"/>
        <v>0</v>
      </c>
      <c r="AK47" s="237"/>
      <c r="AL47" s="236">
        <f t="shared" si="7"/>
        <v>0</v>
      </c>
      <c r="AM47" s="237">
        <f t="shared" si="16"/>
        <v>0</v>
      </c>
      <c r="AN47" s="236">
        <f t="shared" si="16"/>
        <v>0</v>
      </c>
      <c r="AO47" s="240"/>
      <c r="AP47" s="236">
        <f t="shared" si="9"/>
        <v>0</v>
      </c>
    </row>
    <row r="48" spans="1:42" s="241" customFormat="1" ht="14.5">
      <c r="A48" s="161" t="s">
        <v>290</v>
      </c>
      <c r="B48" s="167" t="s">
        <v>291</v>
      </c>
      <c r="C48" s="168" t="s">
        <v>9</v>
      </c>
      <c r="D48" s="158">
        <v>50</v>
      </c>
      <c r="E48" s="159">
        <f>[34]Rates!L129</f>
        <v>20760</v>
      </c>
      <c r="F48" s="170">
        <f>D48*E48</f>
        <v>1038000</v>
      </c>
      <c r="G48" s="235"/>
      <c r="H48" s="236"/>
      <c r="I48" s="237"/>
      <c r="J48" s="236"/>
      <c r="K48" s="238"/>
      <c r="L48" s="239"/>
      <c r="M48" s="237"/>
      <c r="N48" s="236"/>
      <c r="O48" s="238"/>
      <c r="P48" s="239"/>
      <c r="Q48" s="237"/>
      <c r="R48" s="236"/>
      <c r="S48" s="238"/>
      <c r="T48" s="236">
        <f t="shared" si="0"/>
        <v>0</v>
      </c>
      <c r="U48" s="237"/>
      <c r="V48" s="236"/>
      <c r="W48" s="238"/>
      <c r="X48" s="236">
        <f t="shared" si="1"/>
        <v>0</v>
      </c>
      <c r="Y48" s="237"/>
      <c r="Z48" s="236"/>
      <c r="AA48" s="237">
        <f t="shared" si="2"/>
        <v>0</v>
      </c>
      <c r="AB48" s="236">
        <f t="shared" si="2"/>
        <v>0</v>
      </c>
      <c r="AC48" s="237"/>
      <c r="AD48" s="236">
        <f t="shared" si="3"/>
        <v>0</v>
      </c>
      <c r="AE48" s="237">
        <f t="shared" si="4"/>
        <v>0</v>
      </c>
      <c r="AF48" s="236">
        <f t="shared" si="4"/>
        <v>0</v>
      </c>
      <c r="AG48" s="237"/>
      <c r="AH48" s="236">
        <f t="shared" si="5"/>
        <v>0</v>
      </c>
      <c r="AI48" s="237">
        <f t="shared" si="6"/>
        <v>0</v>
      </c>
      <c r="AJ48" s="236">
        <f t="shared" si="6"/>
        <v>0</v>
      </c>
      <c r="AK48" s="237"/>
      <c r="AL48" s="236">
        <f t="shared" si="7"/>
        <v>0</v>
      </c>
      <c r="AM48" s="237">
        <f t="shared" si="16"/>
        <v>0</v>
      </c>
      <c r="AN48" s="236">
        <f t="shared" si="16"/>
        <v>0</v>
      </c>
      <c r="AO48" s="240"/>
      <c r="AP48" s="236">
        <f t="shared" si="9"/>
        <v>0</v>
      </c>
    </row>
    <row r="49" spans="1:6">
      <c r="A49" s="6"/>
      <c r="B49" s="151"/>
      <c r="C49" s="116"/>
      <c r="D49" s="149"/>
      <c r="E49" s="150"/>
      <c r="F49" s="153"/>
    </row>
    <row r="50" spans="1:6" hidden="1">
      <c r="A50" s="6" t="s">
        <v>292</v>
      </c>
      <c r="B50" s="151" t="s">
        <v>293</v>
      </c>
      <c r="C50" s="116" t="s">
        <v>9</v>
      </c>
      <c r="D50" s="149"/>
      <c r="E50" s="150">
        <v>600</v>
      </c>
      <c r="F50" s="171">
        <f>D50*E50</f>
        <v>0</v>
      </c>
    </row>
    <row r="51" spans="1:6" hidden="1">
      <c r="A51" s="6"/>
      <c r="B51" s="151"/>
      <c r="C51" s="116"/>
      <c r="D51" s="149"/>
      <c r="E51" s="150"/>
      <c r="F51" s="171"/>
    </row>
    <row r="52" spans="1:6" hidden="1">
      <c r="A52" s="6" t="s">
        <v>294</v>
      </c>
      <c r="B52" s="151" t="s">
        <v>445</v>
      </c>
      <c r="C52" s="116" t="s">
        <v>9</v>
      </c>
      <c r="D52" s="149"/>
      <c r="E52" s="123">
        <f>1.4*500*1*1.2</f>
        <v>840</v>
      </c>
      <c r="F52" s="171">
        <f>D52*E52</f>
        <v>0</v>
      </c>
    </row>
    <row r="53" spans="1:6" hidden="1">
      <c r="A53" s="6"/>
      <c r="B53" s="151"/>
      <c r="C53" s="116"/>
      <c r="D53" s="149"/>
      <c r="E53" s="123"/>
      <c r="F53" s="171"/>
    </row>
    <row r="54" spans="1:6" hidden="1">
      <c r="A54" s="6" t="s">
        <v>296</v>
      </c>
      <c r="B54" s="151" t="s">
        <v>297</v>
      </c>
      <c r="C54" s="116" t="s">
        <v>9</v>
      </c>
      <c r="D54" s="149"/>
      <c r="E54" s="123">
        <f>1.75*500*1*1.2</f>
        <v>1050</v>
      </c>
      <c r="F54" s="171">
        <f>D54*E54</f>
        <v>0</v>
      </c>
    </row>
    <row r="55" spans="1:6" hidden="1">
      <c r="A55" s="6"/>
      <c r="B55" s="151"/>
      <c r="C55" s="116"/>
      <c r="D55" s="149"/>
      <c r="E55" s="123"/>
      <c r="F55" s="171"/>
    </row>
    <row r="56" spans="1:6" hidden="1">
      <c r="A56" s="6" t="s">
        <v>298</v>
      </c>
      <c r="B56" s="151" t="s">
        <v>299</v>
      </c>
      <c r="C56" s="116" t="s">
        <v>9</v>
      </c>
      <c r="D56" s="149"/>
      <c r="E56" s="123">
        <f>2.5*500*1*1.2</f>
        <v>1500</v>
      </c>
      <c r="F56" s="171">
        <f>D56*E56</f>
        <v>0</v>
      </c>
    </row>
    <row r="57" spans="1:6" ht="12.75" hidden="1" customHeight="1">
      <c r="A57" s="6"/>
      <c r="B57" s="151"/>
      <c r="C57" s="116"/>
      <c r="D57" s="149"/>
      <c r="E57" s="123"/>
      <c r="F57" s="171"/>
    </row>
    <row r="58" spans="1:6" hidden="1">
      <c r="A58" s="6" t="s">
        <v>298</v>
      </c>
      <c r="B58" s="151" t="s">
        <v>300</v>
      </c>
      <c r="C58" s="116" t="s">
        <v>9</v>
      </c>
      <c r="D58" s="149"/>
      <c r="E58" s="123">
        <f>3*500*1*1.2</f>
        <v>1800</v>
      </c>
      <c r="F58" s="171">
        <f>D58*E58</f>
        <v>0</v>
      </c>
    </row>
    <row r="59" spans="1:6" ht="12.75" hidden="1" customHeight="1">
      <c r="A59" s="6"/>
      <c r="B59" s="151"/>
      <c r="C59" s="116"/>
      <c r="D59" s="149"/>
      <c r="E59" s="123"/>
      <c r="F59" s="171"/>
    </row>
    <row r="60" spans="1:6" ht="13" thickBot="1">
      <c r="A60" s="6"/>
      <c r="B60" s="151"/>
      <c r="C60" s="116"/>
      <c r="D60" s="149"/>
      <c r="E60" s="150"/>
      <c r="F60" s="153"/>
    </row>
    <row r="61" spans="1:6" s="3" customFormat="1" ht="13" thickTop="1">
      <c r="A61" s="15"/>
      <c r="B61" s="10"/>
      <c r="C61" s="104"/>
      <c r="D61" s="119"/>
      <c r="E61" s="105"/>
      <c r="F61" s="80"/>
    </row>
    <row r="62" spans="1:6" s="3" customFormat="1" ht="13">
      <c r="A62" s="106"/>
      <c r="B62" s="107" t="s">
        <v>301</v>
      </c>
      <c r="C62" s="108"/>
      <c r="D62" s="120"/>
      <c r="E62" s="109"/>
      <c r="F62" s="75">
        <f>SUM(F5:F61)</f>
        <v>106311200</v>
      </c>
    </row>
    <row r="63" spans="1:6" s="3" customFormat="1" ht="13" thickBot="1">
      <c r="A63" s="12"/>
      <c r="B63" s="110"/>
      <c r="C63" s="111"/>
      <c r="D63" s="122"/>
      <c r="E63" s="112"/>
      <c r="F63" s="82"/>
    </row>
    <row r="64" spans="1:6" ht="13.5" thickTop="1">
      <c r="A64" s="15"/>
      <c r="B64" s="1543"/>
      <c r="C64" s="1543"/>
      <c r="D64" s="1543"/>
      <c r="E64" s="1543"/>
      <c r="F64" s="172"/>
    </row>
    <row r="65" spans="1:6" ht="12.75" customHeight="1">
      <c r="A65" s="1542" t="s">
        <v>438</v>
      </c>
      <c r="B65" s="1542"/>
      <c r="C65" s="1542"/>
      <c r="D65" s="1542"/>
      <c r="E65" s="1542"/>
      <c r="F65" s="1542"/>
    </row>
    <row r="66" spans="1:6" ht="13" thickBot="1">
      <c r="A66" s="91"/>
      <c r="D66" s="127"/>
      <c r="E66" s="128"/>
      <c r="F66" s="135"/>
    </row>
    <row r="67" spans="1:6" ht="27" thickTop="1" thickBot="1">
      <c r="A67" s="13" t="s">
        <v>4</v>
      </c>
      <c r="B67" s="129" t="s">
        <v>5</v>
      </c>
      <c r="C67" s="129" t="s">
        <v>6</v>
      </c>
      <c r="D67" s="173" t="s">
        <v>1</v>
      </c>
      <c r="E67" s="131" t="s">
        <v>7</v>
      </c>
      <c r="F67" s="76" t="s">
        <v>8</v>
      </c>
    </row>
    <row r="68" spans="1:6" ht="13" thickTop="1">
      <c r="A68" s="6"/>
      <c r="B68" s="151"/>
      <c r="C68" s="116"/>
      <c r="D68" s="149"/>
      <c r="E68" s="150"/>
      <c r="F68" s="171"/>
    </row>
    <row r="69" spans="1:6" hidden="1">
      <c r="A69" s="6" t="s">
        <v>298</v>
      </c>
      <c r="B69" s="151" t="s">
        <v>302</v>
      </c>
      <c r="C69" s="116" t="s">
        <v>9</v>
      </c>
      <c r="D69" s="149"/>
      <c r="E69" s="123">
        <f>3.5*500*1*1.2</f>
        <v>2100</v>
      </c>
      <c r="F69" s="171">
        <f>D69*E69</f>
        <v>0</v>
      </c>
    </row>
    <row r="70" spans="1:6" hidden="1">
      <c r="A70" s="6"/>
      <c r="B70" s="151"/>
      <c r="C70" s="116"/>
      <c r="D70" s="149"/>
      <c r="E70" s="150"/>
      <c r="F70" s="153"/>
    </row>
    <row r="71" spans="1:6" ht="13">
      <c r="A71" s="25"/>
      <c r="B71" s="148" t="s">
        <v>25</v>
      </c>
      <c r="C71" s="116"/>
      <c r="D71" s="149"/>
      <c r="E71" s="150"/>
      <c r="F71" s="171"/>
    </row>
    <row r="72" spans="1:6" ht="13">
      <c r="A72" s="25"/>
      <c r="B72" s="148"/>
      <c r="C72" s="116"/>
      <c r="D72" s="149"/>
      <c r="E72" s="150"/>
      <c r="F72" s="171"/>
    </row>
    <row r="73" spans="1:6" ht="26">
      <c r="A73" s="25"/>
      <c r="B73" s="148" t="s">
        <v>446</v>
      </c>
      <c r="C73" s="116"/>
      <c r="D73" s="149"/>
      <c r="E73" s="150"/>
      <c r="F73" s="171"/>
    </row>
    <row r="74" spans="1:6" ht="25" hidden="1">
      <c r="A74" s="6"/>
      <c r="B74" s="175" t="s">
        <v>304</v>
      </c>
      <c r="C74" s="116"/>
      <c r="D74" s="149"/>
      <c r="E74" s="150"/>
      <c r="F74" s="171"/>
    </row>
    <row r="75" spans="1:6" hidden="1">
      <c r="A75" s="6"/>
      <c r="B75" s="151"/>
      <c r="C75" s="116"/>
      <c r="D75" s="149"/>
      <c r="E75" s="150"/>
      <c r="F75" s="171"/>
    </row>
    <row r="76" spans="1:6" ht="13" hidden="1">
      <c r="A76" s="6"/>
      <c r="B76" s="176" t="s">
        <v>305</v>
      </c>
      <c r="C76" s="116"/>
      <c r="D76" s="149"/>
      <c r="E76" s="150"/>
      <c r="F76" s="171"/>
    </row>
    <row r="77" spans="1:6" ht="13" hidden="1">
      <c r="A77" s="6"/>
      <c r="B77" s="177"/>
      <c r="C77" s="116"/>
      <c r="D77" s="149"/>
      <c r="E77" s="150"/>
      <c r="F77" s="171"/>
    </row>
    <row r="78" spans="1:6" ht="13" hidden="1">
      <c r="A78" s="6"/>
      <c r="B78" s="152" t="s">
        <v>306</v>
      </c>
      <c r="C78" s="116"/>
      <c r="D78" s="149"/>
      <c r="E78" s="150"/>
      <c r="F78" s="171"/>
    </row>
    <row r="79" spans="1:6" ht="13" hidden="1">
      <c r="A79" s="6"/>
      <c r="B79" s="177"/>
      <c r="C79" s="116"/>
      <c r="D79" s="149"/>
      <c r="E79" s="150"/>
      <c r="F79" s="171"/>
    </row>
    <row r="80" spans="1:6" ht="14.5" hidden="1">
      <c r="A80" s="6" t="s">
        <v>307</v>
      </c>
      <c r="B80" s="151" t="s">
        <v>308</v>
      </c>
      <c r="C80" s="116" t="s">
        <v>10</v>
      </c>
      <c r="D80" s="149"/>
      <c r="E80" s="150">
        <v>6000</v>
      </c>
      <c r="F80" s="171">
        <f>D80*E80</f>
        <v>0</v>
      </c>
    </row>
    <row r="81" spans="1:42" hidden="1">
      <c r="A81" s="6"/>
      <c r="B81" s="151"/>
      <c r="C81" s="116"/>
      <c r="D81" s="149"/>
      <c r="E81" s="150"/>
      <c r="F81" s="171"/>
    </row>
    <row r="82" spans="1:42">
      <c r="A82" s="101"/>
      <c r="B82" s="151"/>
      <c r="C82" s="116"/>
      <c r="D82" s="149"/>
      <c r="E82" s="150"/>
      <c r="F82" s="178"/>
    </row>
    <row r="83" spans="1:42" s="241" customFormat="1" ht="14.5">
      <c r="A83" s="179"/>
      <c r="B83" s="180" t="s">
        <v>309</v>
      </c>
      <c r="C83" s="181"/>
      <c r="D83" s="182"/>
      <c r="E83" s="183"/>
      <c r="F83" s="184"/>
      <c r="G83" s="242"/>
      <c r="H83" s="239"/>
      <c r="I83" s="238"/>
      <c r="J83" s="239"/>
      <c r="K83" s="238"/>
      <c r="L83" s="239"/>
      <c r="M83" s="238"/>
      <c r="N83" s="239"/>
      <c r="O83" s="238"/>
      <c r="P83" s="239"/>
      <c r="Q83" s="238"/>
      <c r="R83" s="239"/>
      <c r="S83" s="238"/>
      <c r="T83" s="236">
        <f t="shared" ref="T83:T93" si="17">R83+P83</f>
        <v>0</v>
      </c>
      <c r="U83" s="238"/>
      <c r="V83" s="239"/>
      <c r="W83" s="238"/>
      <c r="X83" s="236">
        <f t="shared" ref="X83:X93" si="18">V83+T83</f>
        <v>0</v>
      </c>
      <c r="Y83" s="238"/>
      <c r="Z83" s="239"/>
      <c r="AA83" s="237">
        <f t="shared" ref="AA83:AB93" si="19">Y83+W83</f>
        <v>0</v>
      </c>
      <c r="AB83" s="236">
        <f t="shared" si="19"/>
        <v>0</v>
      </c>
      <c r="AC83" s="238"/>
      <c r="AD83" s="236">
        <f t="shared" ref="AD83:AD93" si="20">AC83*E83</f>
        <v>0</v>
      </c>
      <c r="AE83" s="237">
        <f t="shared" ref="AE83:AF93" si="21">AC83+AA83</f>
        <v>0</v>
      </c>
      <c r="AF83" s="236">
        <f t="shared" si="21"/>
        <v>0</v>
      </c>
      <c r="AG83" s="238"/>
      <c r="AH83" s="236">
        <f t="shared" ref="AH83:AH93" si="22">AG83*E83</f>
        <v>0</v>
      </c>
      <c r="AI83" s="237">
        <f t="shared" ref="AI83:AJ93" si="23">AG83+AE83</f>
        <v>0</v>
      </c>
      <c r="AJ83" s="236">
        <f t="shared" si="23"/>
        <v>0</v>
      </c>
      <c r="AK83" s="238"/>
      <c r="AL83" s="236">
        <f t="shared" ref="AL83:AL93" si="24">AK83*E83</f>
        <v>0</v>
      </c>
      <c r="AM83" s="237">
        <f t="shared" ref="AM83:AN93" si="25">AK83+AI83</f>
        <v>0</v>
      </c>
      <c r="AN83" s="236">
        <f t="shared" si="25"/>
        <v>0</v>
      </c>
      <c r="AO83" s="240"/>
      <c r="AP83" s="236">
        <f t="shared" ref="AP83:AP93" si="26">AO83*E83</f>
        <v>0</v>
      </c>
    </row>
    <row r="84" spans="1:42" s="241" customFormat="1" ht="14.5">
      <c r="A84" s="185"/>
      <c r="B84" s="146"/>
      <c r="C84" s="186"/>
      <c r="D84" s="182"/>
      <c r="E84" s="187"/>
      <c r="F84" s="170"/>
      <c r="G84" s="242"/>
      <c r="H84" s="239"/>
      <c r="I84" s="238"/>
      <c r="J84" s="239"/>
      <c r="K84" s="238"/>
      <c r="L84" s="239"/>
      <c r="M84" s="238"/>
      <c r="N84" s="239"/>
      <c r="O84" s="238"/>
      <c r="P84" s="239"/>
      <c r="Q84" s="238"/>
      <c r="R84" s="239"/>
      <c r="S84" s="238"/>
      <c r="T84" s="236">
        <f t="shared" si="17"/>
        <v>0</v>
      </c>
      <c r="U84" s="238"/>
      <c r="V84" s="239"/>
      <c r="W84" s="238"/>
      <c r="X84" s="236">
        <f t="shared" si="18"/>
        <v>0</v>
      </c>
      <c r="Y84" s="238"/>
      <c r="Z84" s="239"/>
      <c r="AA84" s="237">
        <f t="shared" si="19"/>
        <v>0</v>
      </c>
      <c r="AB84" s="236">
        <f t="shared" si="19"/>
        <v>0</v>
      </c>
      <c r="AC84" s="238"/>
      <c r="AD84" s="236">
        <f t="shared" si="20"/>
        <v>0</v>
      </c>
      <c r="AE84" s="237">
        <f t="shared" si="21"/>
        <v>0</v>
      </c>
      <c r="AF84" s="236">
        <f t="shared" si="21"/>
        <v>0</v>
      </c>
      <c r="AG84" s="238"/>
      <c r="AH84" s="236">
        <f t="shared" si="22"/>
        <v>0</v>
      </c>
      <c r="AI84" s="237">
        <f t="shared" si="23"/>
        <v>0</v>
      </c>
      <c r="AJ84" s="236">
        <f t="shared" si="23"/>
        <v>0</v>
      </c>
      <c r="AK84" s="238"/>
      <c r="AL84" s="236">
        <f t="shared" si="24"/>
        <v>0</v>
      </c>
      <c r="AM84" s="237">
        <f t="shared" si="25"/>
        <v>0</v>
      </c>
      <c r="AN84" s="236">
        <f t="shared" si="25"/>
        <v>0</v>
      </c>
      <c r="AO84" s="240"/>
      <c r="AP84" s="236">
        <f t="shared" si="26"/>
        <v>0</v>
      </c>
    </row>
    <row r="85" spans="1:42" s="241" customFormat="1" ht="14.5">
      <c r="A85" s="185" t="s">
        <v>310</v>
      </c>
      <c r="B85" s="146" t="s">
        <v>447</v>
      </c>
      <c r="C85" s="186" t="s">
        <v>10</v>
      </c>
      <c r="D85" s="182">
        <f>'[34]TAKE OFF sHEET'!R7</f>
        <v>10</v>
      </c>
      <c r="E85" s="150">
        <v>21000</v>
      </c>
      <c r="F85" s="170">
        <f>D85*E85</f>
        <v>210000</v>
      </c>
      <c r="G85" s="242"/>
      <c r="H85" s="239"/>
      <c r="I85" s="238">
        <v>34</v>
      </c>
      <c r="J85" s="239">
        <f>E85*I85</f>
        <v>714000</v>
      </c>
      <c r="K85" s="238">
        <f>I85+G85</f>
        <v>34</v>
      </c>
      <c r="L85" s="239">
        <f>J85+H85</f>
        <v>714000</v>
      </c>
      <c r="M85" s="238">
        <v>70</v>
      </c>
      <c r="N85" s="239">
        <f>I85*M85</f>
        <v>2380</v>
      </c>
      <c r="O85" s="238">
        <f>M85+K85</f>
        <v>104</v>
      </c>
      <c r="P85" s="239">
        <f>N85+L85</f>
        <v>716380</v>
      </c>
      <c r="Q85" s="238">
        <v>22</v>
      </c>
      <c r="R85" s="239">
        <f>Q85*E85</f>
        <v>462000</v>
      </c>
      <c r="S85" s="238">
        <f>Q85+O85</f>
        <v>126</v>
      </c>
      <c r="T85" s="236">
        <f t="shared" si="17"/>
        <v>1178380</v>
      </c>
      <c r="U85" s="238"/>
      <c r="V85" s="239">
        <f>U85*I85</f>
        <v>0</v>
      </c>
      <c r="W85" s="238">
        <f>U85+S85</f>
        <v>126</v>
      </c>
      <c r="X85" s="236">
        <f t="shared" si="18"/>
        <v>1178380</v>
      </c>
      <c r="Y85" s="238"/>
      <c r="Z85" s="239">
        <f>Y85*M85</f>
        <v>0</v>
      </c>
      <c r="AA85" s="237">
        <f t="shared" si="19"/>
        <v>126</v>
      </c>
      <c r="AB85" s="236">
        <f t="shared" si="19"/>
        <v>1178380</v>
      </c>
      <c r="AC85" s="238"/>
      <c r="AD85" s="236">
        <f t="shared" si="20"/>
        <v>0</v>
      </c>
      <c r="AE85" s="237">
        <f t="shared" si="21"/>
        <v>126</v>
      </c>
      <c r="AF85" s="236">
        <f t="shared" si="21"/>
        <v>1178380</v>
      </c>
      <c r="AG85" s="238"/>
      <c r="AH85" s="236">
        <f t="shared" si="22"/>
        <v>0</v>
      </c>
      <c r="AI85" s="237">
        <f t="shared" si="23"/>
        <v>126</v>
      </c>
      <c r="AJ85" s="236">
        <f t="shared" si="23"/>
        <v>1178380</v>
      </c>
      <c r="AK85" s="238"/>
      <c r="AL85" s="236">
        <f t="shared" si="24"/>
        <v>0</v>
      </c>
      <c r="AM85" s="237">
        <f t="shared" si="25"/>
        <v>126</v>
      </c>
      <c r="AN85" s="236">
        <f t="shared" si="25"/>
        <v>1178380</v>
      </c>
      <c r="AO85" s="240"/>
      <c r="AP85" s="236">
        <f t="shared" si="26"/>
        <v>0</v>
      </c>
    </row>
    <row r="86" spans="1:42" s="241" customFormat="1" ht="14.5">
      <c r="A86" s="185"/>
      <c r="B86" s="188"/>
      <c r="C86" s="181"/>
      <c r="D86" s="182">
        <f>'[34]TAKE OFF sHEET'!R8</f>
        <v>0</v>
      </c>
      <c r="E86" s="183"/>
      <c r="F86" s="166"/>
      <c r="G86" s="242"/>
      <c r="H86" s="239"/>
      <c r="I86" s="238"/>
      <c r="J86" s="239"/>
      <c r="K86" s="238"/>
      <c r="L86" s="239"/>
      <c r="M86" s="238"/>
      <c r="N86" s="239"/>
      <c r="O86" s="238"/>
      <c r="P86" s="239"/>
      <c r="Q86" s="238"/>
      <c r="R86" s="239"/>
      <c r="S86" s="238"/>
      <c r="T86" s="236">
        <f t="shared" si="17"/>
        <v>0</v>
      </c>
      <c r="U86" s="238"/>
      <c r="V86" s="239"/>
      <c r="W86" s="238"/>
      <c r="X86" s="236">
        <f t="shared" si="18"/>
        <v>0</v>
      </c>
      <c r="Y86" s="238"/>
      <c r="Z86" s="239"/>
      <c r="AA86" s="237">
        <f t="shared" si="19"/>
        <v>0</v>
      </c>
      <c r="AB86" s="236">
        <f t="shared" si="19"/>
        <v>0</v>
      </c>
      <c r="AC86" s="238"/>
      <c r="AD86" s="236">
        <f t="shared" si="20"/>
        <v>0</v>
      </c>
      <c r="AE86" s="237">
        <f t="shared" si="21"/>
        <v>0</v>
      </c>
      <c r="AF86" s="236">
        <f t="shared" si="21"/>
        <v>0</v>
      </c>
      <c r="AG86" s="238"/>
      <c r="AH86" s="236">
        <f t="shared" si="22"/>
        <v>0</v>
      </c>
      <c r="AI86" s="237">
        <f t="shared" si="23"/>
        <v>0</v>
      </c>
      <c r="AJ86" s="236">
        <f t="shared" si="23"/>
        <v>0</v>
      </c>
      <c r="AK86" s="238"/>
      <c r="AL86" s="236">
        <f t="shared" si="24"/>
        <v>0</v>
      </c>
      <c r="AM86" s="237">
        <f t="shared" si="25"/>
        <v>0</v>
      </c>
      <c r="AN86" s="236">
        <f t="shared" si="25"/>
        <v>0</v>
      </c>
      <c r="AO86" s="240"/>
      <c r="AP86" s="236">
        <f t="shared" si="26"/>
        <v>0</v>
      </c>
    </row>
    <row r="87" spans="1:42" s="241" customFormat="1" ht="14.5">
      <c r="A87" s="185" t="s">
        <v>312</v>
      </c>
      <c r="B87" s="189" t="s">
        <v>448</v>
      </c>
      <c r="C87" s="186" t="s">
        <v>10</v>
      </c>
      <c r="D87" s="182">
        <f>'[34]TAKE OFF sHEET'!R9</f>
        <v>11</v>
      </c>
      <c r="E87" s="150">
        <v>21000</v>
      </c>
      <c r="F87" s="170">
        <f>D87*E87</f>
        <v>231000</v>
      </c>
      <c r="G87" s="242"/>
      <c r="H87" s="239"/>
      <c r="I87" s="238">
        <v>6</v>
      </c>
      <c r="J87" s="239">
        <f>E87*I87</f>
        <v>126000</v>
      </c>
      <c r="K87" s="238">
        <f>I87+G87</f>
        <v>6</v>
      </c>
      <c r="L87" s="239">
        <f>J87+H87</f>
        <v>126000</v>
      </c>
      <c r="M87" s="238">
        <v>14</v>
      </c>
      <c r="N87" s="239">
        <f>I87*M87</f>
        <v>84</v>
      </c>
      <c r="O87" s="238">
        <f>M87+K87</f>
        <v>20</v>
      </c>
      <c r="P87" s="239">
        <f>N87+L87</f>
        <v>126084</v>
      </c>
      <c r="Q87" s="238">
        <v>14</v>
      </c>
      <c r="R87" s="239">
        <f>Q87*E87</f>
        <v>294000</v>
      </c>
      <c r="S87" s="238">
        <f>Q87+O87</f>
        <v>34</v>
      </c>
      <c r="T87" s="236">
        <f t="shared" si="17"/>
        <v>420084</v>
      </c>
      <c r="U87" s="238"/>
      <c r="V87" s="239">
        <f>U87*I87</f>
        <v>0</v>
      </c>
      <c r="W87" s="238">
        <f>U87+S87</f>
        <v>34</v>
      </c>
      <c r="X87" s="236">
        <f t="shared" si="18"/>
        <v>420084</v>
      </c>
      <c r="Y87" s="238"/>
      <c r="Z87" s="239">
        <f>Y87*M87</f>
        <v>0</v>
      </c>
      <c r="AA87" s="237">
        <f t="shared" si="19"/>
        <v>34</v>
      </c>
      <c r="AB87" s="236">
        <f t="shared" si="19"/>
        <v>420084</v>
      </c>
      <c r="AC87" s="238"/>
      <c r="AD87" s="236">
        <f t="shared" si="20"/>
        <v>0</v>
      </c>
      <c r="AE87" s="237">
        <f t="shared" si="21"/>
        <v>34</v>
      </c>
      <c r="AF87" s="236">
        <f t="shared" si="21"/>
        <v>420084</v>
      </c>
      <c r="AG87" s="238"/>
      <c r="AH87" s="236">
        <f t="shared" si="22"/>
        <v>0</v>
      </c>
      <c r="AI87" s="237">
        <f t="shared" si="23"/>
        <v>34</v>
      </c>
      <c r="AJ87" s="236">
        <f t="shared" si="23"/>
        <v>420084</v>
      </c>
      <c r="AK87" s="238"/>
      <c r="AL87" s="236">
        <f t="shared" si="24"/>
        <v>0</v>
      </c>
      <c r="AM87" s="237">
        <f t="shared" si="25"/>
        <v>34</v>
      </c>
      <c r="AN87" s="236">
        <f t="shared" si="25"/>
        <v>420084</v>
      </c>
      <c r="AO87" s="240"/>
      <c r="AP87" s="236">
        <f t="shared" si="26"/>
        <v>0</v>
      </c>
    </row>
    <row r="88" spans="1:42" s="241" customFormat="1" ht="14.5">
      <c r="A88" s="185"/>
      <c r="B88" s="146"/>
      <c r="C88" s="186"/>
      <c r="D88" s="182">
        <f>'[34]TAKE OFF sHEET'!R10</f>
        <v>0</v>
      </c>
      <c r="E88" s="187"/>
      <c r="F88" s="170"/>
      <c r="G88" s="242"/>
      <c r="H88" s="239"/>
      <c r="I88" s="238"/>
      <c r="J88" s="239"/>
      <c r="K88" s="238"/>
      <c r="L88" s="239"/>
      <c r="M88" s="238"/>
      <c r="N88" s="239"/>
      <c r="O88" s="238"/>
      <c r="P88" s="239"/>
      <c r="Q88" s="238"/>
      <c r="R88" s="239"/>
      <c r="S88" s="238"/>
      <c r="T88" s="236">
        <f t="shared" si="17"/>
        <v>0</v>
      </c>
      <c r="U88" s="238"/>
      <c r="V88" s="239"/>
      <c r="W88" s="238"/>
      <c r="X88" s="236">
        <f t="shared" si="18"/>
        <v>0</v>
      </c>
      <c r="Y88" s="238"/>
      <c r="Z88" s="239"/>
      <c r="AA88" s="237">
        <f t="shared" si="19"/>
        <v>0</v>
      </c>
      <c r="AB88" s="236">
        <f t="shared" si="19"/>
        <v>0</v>
      </c>
      <c r="AC88" s="238"/>
      <c r="AD88" s="236">
        <f t="shared" si="20"/>
        <v>0</v>
      </c>
      <c r="AE88" s="237">
        <f t="shared" si="21"/>
        <v>0</v>
      </c>
      <c r="AF88" s="236">
        <f t="shared" si="21"/>
        <v>0</v>
      </c>
      <c r="AG88" s="238"/>
      <c r="AH88" s="236">
        <f t="shared" si="22"/>
        <v>0</v>
      </c>
      <c r="AI88" s="237">
        <f t="shared" si="23"/>
        <v>0</v>
      </c>
      <c r="AJ88" s="236">
        <f t="shared" si="23"/>
        <v>0</v>
      </c>
      <c r="AK88" s="238"/>
      <c r="AL88" s="236">
        <f t="shared" si="24"/>
        <v>0</v>
      </c>
      <c r="AM88" s="237">
        <f t="shared" si="25"/>
        <v>0</v>
      </c>
      <c r="AN88" s="236">
        <f t="shared" si="25"/>
        <v>0</v>
      </c>
      <c r="AO88" s="240"/>
      <c r="AP88" s="236">
        <f t="shared" si="26"/>
        <v>0</v>
      </c>
    </row>
    <row r="89" spans="1:42" s="241" customFormat="1" ht="14.5">
      <c r="A89" s="185" t="s">
        <v>314</v>
      </c>
      <c r="B89" s="189" t="s">
        <v>449</v>
      </c>
      <c r="C89" s="186" t="s">
        <v>10</v>
      </c>
      <c r="D89" s="182">
        <f>'[34]TAKE OFF sHEET'!R11</f>
        <v>9</v>
      </c>
      <c r="E89" s="150">
        <v>21000</v>
      </c>
      <c r="F89" s="170">
        <f>D89*E89</f>
        <v>189000</v>
      </c>
      <c r="G89" s="242"/>
      <c r="H89" s="239"/>
      <c r="I89" s="238"/>
      <c r="J89" s="239"/>
      <c r="K89" s="238"/>
      <c r="L89" s="239"/>
      <c r="M89" s="238"/>
      <c r="N89" s="239"/>
      <c r="O89" s="238"/>
      <c r="P89" s="239"/>
      <c r="Q89" s="238"/>
      <c r="R89" s="239"/>
      <c r="S89" s="238"/>
      <c r="T89" s="236">
        <f t="shared" si="17"/>
        <v>0</v>
      </c>
      <c r="U89" s="238"/>
      <c r="V89" s="239"/>
      <c r="W89" s="238"/>
      <c r="X89" s="236">
        <f t="shared" si="18"/>
        <v>0</v>
      </c>
      <c r="Y89" s="238"/>
      <c r="Z89" s="239"/>
      <c r="AA89" s="237">
        <f t="shared" si="19"/>
        <v>0</v>
      </c>
      <c r="AB89" s="236">
        <f t="shared" si="19"/>
        <v>0</v>
      </c>
      <c r="AC89" s="238"/>
      <c r="AD89" s="236">
        <f t="shared" si="20"/>
        <v>0</v>
      </c>
      <c r="AE89" s="237">
        <f t="shared" si="21"/>
        <v>0</v>
      </c>
      <c r="AF89" s="236">
        <f t="shared" si="21"/>
        <v>0</v>
      </c>
      <c r="AG89" s="238"/>
      <c r="AH89" s="236">
        <f t="shared" si="22"/>
        <v>0</v>
      </c>
      <c r="AI89" s="237">
        <f t="shared" si="23"/>
        <v>0</v>
      </c>
      <c r="AJ89" s="236">
        <f t="shared" si="23"/>
        <v>0</v>
      </c>
      <c r="AK89" s="238"/>
      <c r="AL89" s="236">
        <f t="shared" si="24"/>
        <v>0</v>
      </c>
      <c r="AM89" s="237">
        <f t="shared" si="25"/>
        <v>0</v>
      </c>
      <c r="AN89" s="236">
        <f t="shared" si="25"/>
        <v>0</v>
      </c>
      <c r="AO89" s="240"/>
      <c r="AP89" s="236">
        <f t="shared" si="26"/>
        <v>0</v>
      </c>
    </row>
    <row r="90" spans="1:42" s="241" customFormat="1" ht="14.5">
      <c r="A90" s="185"/>
      <c r="B90" s="188"/>
      <c r="C90" s="181"/>
      <c r="D90" s="182">
        <f>'[34]TAKE OFF sHEET'!R12</f>
        <v>0</v>
      </c>
      <c r="E90" s="183"/>
      <c r="F90" s="184"/>
      <c r="G90" s="242"/>
      <c r="H90" s="239"/>
      <c r="I90" s="238"/>
      <c r="J90" s="239"/>
      <c r="K90" s="238"/>
      <c r="L90" s="239"/>
      <c r="M90" s="238"/>
      <c r="N90" s="239"/>
      <c r="O90" s="238"/>
      <c r="P90" s="239"/>
      <c r="Q90" s="238"/>
      <c r="R90" s="239"/>
      <c r="S90" s="238"/>
      <c r="T90" s="236">
        <f t="shared" si="17"/>
        <v>0</v>
      </c>
      <c r="U90" s="238"/>
      <c r="V90" s="239"/>
      <c r="W90" s="238"/>
      <c r="X90" s="236">
        <f t="shared" si="18"/>
        <v>0</v>
      </c>
      <c r="Y90" s="238"/>
      <c r="Z90" s="239"/>
      <c r="AA90" s="237">
        <f t="shared" si="19"/>
        <v>0</v>
      </c>
      <c r="AB90" s="236">
        <f t="shared" si="19"/>
        <v>0</v>
      </c>
      <c r="AC90" s="238"/>
      <c r="AD90" s="236">
        <f t="shared" si="20"/>
        <v>0</v>
      </c>
      <c r="AE90" s="237">
        <f t="shared" si="21"/>
        <v>0</v>
      </c>
      <c r="AF90" s="236">
        <f t="shared" si="21"/>
        <v>0</v>
      </c>
      <c r="AG90" s="238"/>
      <c r="AH90" s="236">
        <f t="shared" si="22"/>
        <v>0</v>
      </c>
      <c r="AI90" s="237">
        <f t="shared" si="23"/>
        <v>0</v>
      </c>
      <c r="AJ90" s="236">
        <f t="shared" si="23"/>
        <v>0</v>
      </c>
      <c r="AK90" s="238"/>
      <c r="AL90" s="236">
        <f t="shared" si="24"/>
        <v>0</v>
      </c>
      <c r="AM90" s="237">
        <f t="shared" si="25"/>
        <v>0</v>
      </c>
      <c r="AN90" s="236">
        <f t="shared" si="25"/>
        <v>0</v>
      </c>
      <c r="AO90" s="240"/>
      <c r="AP90" s="236">
        <f t="shared" si="26"/>
        <v>0</v>
      </c>
    </row>
    <row r="91" spans="1:42" s="241" customFormat="1" ht="14.5">
      <c r="A91" s="185" t="s">
        <v>316</v>
      </c>
      <c r="B91" s="189" t="s">
        <v>450</v>
      </c>
      <c r="C91" s="186" t="s">
        <v>10</v>
      </c>
      <c r="D91" s="182">
        <f>'[34]TAKE OFF sHEET'!R13</f>
        <v>11</v>
      </c>
      <c r="E91" s="187">
        <v>30000</v>
      </c>
      <c r="F91" s="170">
        <f>D91*E91</f>
        <v>330000</v>
      </c>
      <c r="G91" s="242"/>
      <c r="H91" s="239"/>
      <c r="I91" s="238"/>
      <c r="J91" s="239"/>
      <c r="K91" s="238"/>
      <c r="L91" s="239"/>
      <c r="M91" s="238"/>
      <c r="N91" s="239"/>
      <c r="O91" s="238"/>
      <c r="P91" s="239"/>
      <c r="Q91" s="238"/>
      <c r="R91" s="239"/>
      <c r="S91" s="238"/>
      <c r="T91" s="236">
        <f t="shared" si="17"/>
        <v>0</v>
      </c>
      <c r="U91" s="238"/>
      <c r="V91" s="239"/>
      <c r="W91" s="238"/>
      <c r="X91" s="236">
        <f t="shared" si="18"/>
        <v>0</v>
      </c>
      <c r="Y91" s="238">
        <v>25</v>
      </c>
      <c r="Z91" s="239">
        <f>Y91*E91</f>
        <v>750000</v>
      </c>
      <c r="AA91" s="237">
        <f t="shared" si="19"/>
        <v>25</v>
      </c>
      <c r="AB91" s="236">
        <f t="shared" si="19"/>
        <v>750000</v>
      </c>
      <c r="AC91" s="238">
        <v>35</v>
      </c>
      <c r="AD91" s="236">
        <f t="shared" si="20"/>
        <v>1050000</v>
      </c>
      <c r="AE91" s="237">
        <f t="shared" si="21"/>
        <v>60</v>
      </c>
      <c r="AF91" s="236">
        <f t="shared" si="21"/>
        <v>1800000</v>
      </c>
      <c r="AG91" s="238">
        <v>18</v>
      </c>
      <c r="AH91" s="236">
        <f t="shared" si="22"/>
        <v>540000</v>
      </c>
      <c r="AI91" s="237">
        <f t="shared" si="23"/>
        <v>78</v>
      </c>
      <c r="AJ91" s="236">
        <f t="shared" si="23"/>
        <v>2340000</v>
      </c>
      <c r="AK91" s="238">
        <v>5</v>
      </c>
      <c r="AL91" s="236">
        <f t="shared" si="24"/>
        <v>150000</v>
      </c>
      <c r="AM91" s="237">
        <f t="shared" si="25"/>
        <v>83</v>
      </c>
      <c r="AN91" s="236">
        <f t="shared" si="25"/>
        <v>2490000</v>
      </c>
      <c r="AO91" s="240">
        <v>4</v>
      </c>
      <c r="AP91" s="236">
        <f t="shared" si="26"/>
        <v>120000</v>
      </c>
    </row>
    <row r="92" spans="1:42" s="241" customFormat="1" ht="14.5">
      <c r="A92" s="185"/>
      <c r="B92" s="188"/>
      <c r="C92" s="181"/>
      <c r="D92" s="182">
        <f>'[34]TAKE OFF sHEET'!R14</f>
        <v>0</v>
      </c>
      <c r="E92" s="183"/>
      <c r="F92" s="166"/>
      <c r="G92" s="242"/>
      <c r="H92" s="239"/>
      <c r="I92" s="238"/>
      <c r="J92" s="239"/>
      <c r="K92" s="238"/>
      <c r="L92" s="239"/>
      <c r="M92" s="238"/>
      <c r="N92" s="239"/>
      <c r="O92" s="238"/>
      <c r="P92" s="239"/>
      <c r="Q92" s="238"/>
      <c r="R92" s="239"/>
      <c r="S92" s="238"/>
      <c r="T92" s="236">
        <f t="shared" si="17"/>
        <v>0</v>
      </c>
      <c r="U92" s="238"/>
      <c r="V92" s="239"/>
      <c r="W92" s="238"/>
      <c r="X92" s="236">
        <f t="shared" si="18"/>
        <v>0</v>
      </c>
      <c r="Y92" s="238"/>
      <c r="Z92" s="239"/>
      <c r="AA92" s="237">
        <f t="shared" si="19"/>
        <v>0</v>
      </c>
      <c r="AB92" s="236">
        <f t="shared" si="19"/>
        <v>0</v>
      </c>
      <c r="AC92" s="238"/>
      <c r="AD92" s="236">
        <f t="shared" si="20"/>
        <v>0</v>
      </c>
      <c r="AE92" s="237">
        <f t="shared" si="21"/>
        <v>0</v>
      </c>
      <c r="AF92" s="236">
        <f t="shared" si="21"/>
        <v>0</v>
      </c>
      <c r="AG92" s="238"/>
      <c r="AH92" s="236">
        <f t="shared" si="22"/>
        <v>0</v>
      </c>
      <c r="AI92" s="237">
        <f t="shared" si="23"/>
        <v>0</v>
      </c>
      <c r="AJ92" s="236">
        <f t="shared" si="23"/>
        <v>0</v>
      </c>
      <c r="AK92" s="238"/>
      <c r="AL92" s="236">
        <f t="shared" si="24"/>
        <v>0</v>
      </c>
      <c r="AM92" s="237">
        <f t="shared" si="25"/>
        <v>0</v>
      </c>
      <c r="AN92" s="236">
        <f t="shared" si="25"/>
        <v>0</v>
      </c>
      <c r="AO92" s="240"/>
      <c r="AP92" s="236">
        <f t="shared" si="26"/>
        <v>0</v>
      </c>
    </row>
    <row r="93" spans="1:42" s="241" customFormat="1" ht="14.5">
      <c r="A93" s="185" t="s">
        <v>318</v>
      </c>
      <c r="B93" s="189" t="s">
        <v>451</v>
      </c>
      <c r="C93" s="186" t="s">
        <v>10</v>
      </c>
      <c r="D93" s="182">
        <f>'[34]TAKE OFF sHEET'!R15</f>
        <v>13</v>
      </c>
      <c r="E93" s="187">
        <v>35000</v>
      </c>
      <c r="F93" s="170">
        <f>D93*E93</f>
        <v>455000</v>
      </c>
      <c r="G93" s="242"/>
      <c r="H93" s="239"/>
      <c r="I93" s="238"/>
      <c r="J93" s="239"/>
      <c r="K93" s="238"/>
      <c r="L93" s="239"/>
      <c r="M93" s="238"/>
      <c r="N93" s="239"/>
      <c r="O93" s="238"/>
      <c r="P93" s="239"/>
      <c r="Q93" s="238">
        <v>3</v>
      </c>
      <c r="R93" s="239">
        <f>Q93*E93</f>
        <v>105000</v>
      </c>
      <c r="S93" s="238">
        <f>Q93+O93</f>
        <v>3</v>
      </c>
      <c r="T93" s="236">
        <f t="shared" si="17"/>
        <v>105000</v>
      </c>
      <c r="U93" s="238">
        <v>14</v>
      </c>
      <c r="V93" s="239">
        <f>U93*E93</f>
        <v>490000</v>
      </c>
      <c r="W93" s="238">
        <f>U93+S93</f>
        <v>17</v>
      </c>
      <c r="X93" s="236">
        <f t="shared" si="18"/>
        <v>595000</v>
      </c>
      <c r="Y93" s="238">
        <v>8</v>
      </c>
      <c r="Z93" s="239">
        <f>Y93*E93</f>
        <v>280000</v>
      </c>
      <c r="AA93" s="237">
        <f t="shared" si="19"/>
        <v>25</v>
      </c>
      <c r="AB93" s="236">
        <f t="shared" si="19"/>
        <v>875000</v>
      </c>
      <c r="AC93" s="238">
        <v>5</v>
      </c>
      <c r="AD93" s="236">
        <f t="shared" si="20"/>
        <v>175000</v>
      </c>
      <c r="AE93" s="237">
        <f t="shared" si="21"/>
        <v>30</v>
      </c>
      <c r="AF93" s="236">
        <f t="shared" si="21"/>
        <v>1050000</v>
      </c>
      <c r="AG93" s="238"/>
      <c r="AH93" s="236">
        <f t="shared" si="22"/>
        <v>0</v>
      </c>
      <c r="AI93" s="237">
        <f t="shared" si="23"/>
        <v>30</v>
      </c>
      <c r="AJ93" s="236">
        <f t="shared" si="23"/>
        <v>1050000</v>
      </c>
      <c r="AK93" s="238"/>
      <c r="AL93" s="236">
        <f t="shared" si="24"/>
        <v>0</v>
      </c>
      <c r="AM93" s="237">
        <f t="shared" si="25"/>
        <v>30</v>
      </c>
      <c r="AN93" s="236">
        <f t="shared" si="25"/>
        <v>1050000</v>
      </c>
      <c r="AO93" s="240">
        <v>2</v>
      </c>
      <c r="AP93" s="236">
        <f t="shared" si="26"/>
        <v>70000</v>
      </c>
    </row>
    <row r="94" spans="1:42">
      <c r="A94" s="6"/>
      <c r="B94" s="151"/>
      <c r="C94" s="116"/>
      <c r="D94" s="149"/>
      <c r="E94" s="150"/>
      <c r="F94" s="171"/>
    </row>
    <row r="95" spans="1:42" ht="13" hidden="1">
      <c r="A95" s="6"/>
      <c r="B95" s="152" t="s">
        <v>320</v>
      </c>
      <c r="C95" s="116"/>
      <c r="D95" s="149"/>
      <c r="E95" s="150"/>
      <c r="F95" s="171"/>
    </row>
    <row r="96" spans="1:42" hidden="1">
      <c r="A96" s="6"/>
      <c r="B96" s="151"/>
      <c r="C96" s="116"/>
      <c r="D96" s="149"/>
      <c r="E96" s="150"/>
      <c r="F96" s="171"/>
    </row>
    <row r="97" spans="1:42" hidden="1">
      <c r="A97" s="6" t="s">
        <v>321</v>
      </c>
      <c r="B97" s="151" t="s">
        <v>452</v>
      </c>
      <c r="C97" s="116" t="s">
        <v>10</v>
      </c>
      <c r="D97" s="149"/>
      <c r="E97" s="150">
        <v>30000</v>
      </c>
      <c r="F97" s="171">
        <f>D97*E97</f>
        <v>0</v>
      </c>
    </row>
    <row r="98" spans="1:42" hidden="1">
      <c r="A98" s="6"/>
      <c r="B98" s="151"/>
      <c r="C98" s="116"/>
      <c r="D98" s="149"/>
      <c r="E98" s="150"/>
      <c r="F98" s="171"/>
    </row>
    <row r="99" spans="1:42" hidden="1">
      <c r="A99" s="6" t="s">
        <v>323</v>
      </c>
      <c r="B99" s="151" t="s">
        <v>453</v>
      </c>
      <c r="C99" s="116" t="s">
        <v>10</v>
      </c>
      <c r="D99" s="149"/>
      <c r="E99" s="150">
        <v>21000</v>
      </c>
      <c r="F99" s="171">
        <f>D99*E99</f>
        <v>0</v>
      </c>
    </row>
    <row r="100" spans="1:42" hidden="1">
      <c r="A100" s="6"/>
      <c r="B100" s="151"/>
      <c r="C100" s="116"/>
      <c r="D100" s="149"/>
      <c r="E100" s="150"/>
      <c r="F100" s="171"/>
    </row>
    <row r="101" spans="1:42" hidden="1">
      <c r="A101" s="6" t="s">
        <v>323</v>
      </c>
      <c r="B101" s="151" t="s">
        <v>454</v>
      </c>
      <c r="C101" s="116" t="s">
        <v>10</v>
      </c>
      <c r="D101" s="149"/>
      <c r="E101" s="150">
        <v>21000</v>
      </c>
      <c r="F101" s="171">
        <f>D101*E101</f>
        <v>0</v>
      </c>
    </row>
    <row r="102" spans="1:42" hidden="1">
      <c r="A102" s="6"/>
      <c r="B102" s="151"/>
      <c r="C102" s="116"/>
      <c r="D102" s="149"/>
      <c r="E102" s="150"/>
      <c r="F102" s="171"/>
    </row>
    <row r="103" spans="1:42" hidden="1">
      <c r="A103" s="6" t="s">
        <v>326</v>
      </c>
      <c r="B103" s="151" t="s">
        <v>455</v>
      </c>
      <c r="C103" s="116" t="s">
        <v>10</v>
      </c>
      <c r="D103" s="149"/>
      <c r="E103" s="150">
        <v>21000</v>
      </c>
      <c r="F103" s="171">
        <f>D103*E103</f>
        <v>0</v>
      </c>
    </row>
    <row r="104" spans="1:42" s="134" customFormat="1" ht="13">
      <c r="A104" s="179"/>
      <c r="B104" s="180" t="s">
        <v>328</v>
      </c>
      <c r="C104" s="181"/>
      <c r="D104" s="182"/>
      <c r="E104" s="183"/>
      <c r="F104" s="184"/>
      <c r="G104" s="242"/>
      <c r="H104" s="239"/>
      <c r="I104" s="238"/>
      <c r="J104" s="239"/>
      <c r="K104" s="238"/>
      <c r="L104" s="239"/>
      <c r="M104" s="238"/>
      <c r="N104" s="239"/>
      <c r="O104" s="238"/>
      <c r="P104" s="239"/>
      <c r="Q104" s="238"/>
      <c r="R104" s="239"/>
      <c r="S104" s="238"/>
      <c r="T104" s="236">
        <f t="shared" ref="T104:T134" si="27">R104+P104</f>
        <v>0</v>
      </c>
      <c r="U104" s="238"/>
      <c r="V104" s="239"/>
      <c r="W104" s="238"/>
      <c r="X104" s="236">
        <f t="shared" ref="X104:X134" si="28">V104+T104</f>
        <v>0</v>
      </c>
      <c r="Y104" s="238"/>
      <c r="Z104" s="239"/>
      <c r="AA104" s="237">
        <f t="shared" ref="AA104:AB134" si="29">Y104+W104</f>
        <v>0</v>
      </c>
      <c r="AB104" s="236">
        <f t="shared" si="29"/>
        <v>0</v>
      </c>
      <c r="AC104" s="238"/>
      <c r="AD104" s="236">
        <f t="shared" ref="AD104:AD134" si="30">AC104*E104</f>
        <v>0</v>
      </c>
      <c r="AE104" s="237">
        <f t="shared" ref="AE104:AF134" si="31">AC104+AA104</f>
        <v>0</v>
      </c>
      <c r="AF104" s="236">
        <f t="shared" si="31"/>
        <v>0</v>
      </c>
      <c r="AG104" s="238"/>
      <c r="AH104" s="236">
        <f t="shared" ref="AH104:AH134" si="32">AG104*E104</f>
        <v>0</v>
      </c>
      <c r="AI104" s="237">
        <f t="shared" ref="AI104:AJ134" si="33">AG104+AE104</f>
        <v>0</v>
      </c>
      <c r="AJ104" s="236">
        <f t="shared" si="33"/>
        <v>0</v>
      </c>
      <c r="AK104" s="238"/>
      <c r="AL104" s="236">
        <f t="shared" ref="AL104:AL134" si="34">AK104*E104</f>
        <v>0</v>
      </c>
      <c r="AM104" s="237">
        <f t="shared" ref="AM104:AN116" si="35">AK104+AI104</f>
        <v>0</v>
      </c>
      <c r="AN104" s="236">
        <f t="shared" si="35"/>
        <v>0</v>
      </c>
      <c r="AO104" s="240"/>
      <c r="AP104" s="236">
        <f t="shared" ref="AP104:AP134" si="36">AO104*E104</f>
        <v>0</v>
      </c>
    </row>
    <row r="105" spans="1:42" s="134" customFormat="1">
      <c r="A105" s="185"/>
      <c r="B105" s="146"/>
      <c r="C105" s="186"/>
      <c r="D105" s="182"/>
      <c r="E105" s="187"/>
      <c r="F105" s="170"/>
      <c r="G105" s="242"/>
      <c r="H105" s="239"/>
      <c r="I105" s="238"/>
      <c r="J105" s="239"/>
      <c r="K105" s="238"/>
      <c r="L105" s="239"/>
      <c r="M105" s="238"/>
      <c r="N105" s="239"/>
      <c r="O105" s="238"/>
      <c r="P105" s="239"/>
      <c r="Q105" s="238"/>
      <c r="R105" s="239"/>
      <c r="S105" s="238"/>
      <c r="T105" s="236">
        <f t="shared" si="27"/>
        <v>0</v>
      </c>
      <c r="U105" s="238"/>
      <c r="V105" s="239"/>
      <c r="W105" s="238"/>
      <c r="X105" s="236">
        <f t="shared" si="28"/>
        <v>0</v>
      </c>
      <c r="Y105" s="238"/>
      <c r="Z105" s="239"/>
      <c r="AA105" s="237">
        <f t="shared" si="29"/>
        <v>0</v>
      </c>
      <c r="AB105" s="236">
        <f t="shared" si="29"/>
        <v>0</v>
      </c>
      <c r="AC105" s="238"/>
      <c r="AD105" s="236">
        <f t="shared" si="30"/>
        <v>0</v>
      </c>
      <c r="AE105" s="237">
        <f t="shared" si="31"/>
        <v>0</v>
      </c>
      <c r="AF105" s="236">
        <f t="shared" si="31"/>
        <v>0</v>
      </c>
      <c r="AG105" s="238"/>
      <c r="AH105" s="236">
        <f t="shared" si="32"/>
        <v>0</v>
      </c>
      <c r="AI105" s="237">
        <f t="shared" si="33"/>
        <v>0</v>
      </c>
      <c r="AJ105" s="236">
        <f t="shared" si="33"/>
        <v>0</v>
      </c>
      <c r="AK105" s="238"/>
      <c r="AL105" s="236">
        <f t="shared" si="34"/>
        <v>0</v>
      </c>
      <c r="AM105" s="237">
        <f t="shared" si="35"/>
        <v>0</v>
      </c>
      <c r="AN105" s="236">
        <f t="shared" si="35"/>
        <v>0</v>
      </c>
      <c r="AO105" s="240"/>
      <c r="AP105" s="236">
        <f t="shared" si="36"/>
        <v>0</v>
      </c>
    </row>
    <row r="106" spans="1:42" s="134" customFormat="1">
      <c r="A106" s="179"/>
      <c r="B106" s="190" t="s">
        <v>69</v>
      </c>
      <c r="C106" s="181"/>
      <c r="D106" s="182"/>
      <c r="E106" s="183"/>
      <c r="F106" s="184"/>
      <c r="G106" s="242"/>
      <c r="H106" s="239"/>
      <c r="I106" s="238"/>
      <c r="J106" s="239"/>
      <c r="K106" s="238"/>
      <c r="L106" s="239"/>
      <c r="M106" s="238"/>
      <c r="N106" s="239"/>
      <c r="O106" s="238"/>
      <c r="P106" s="239"/>
      <c r="Q106" s="238"/>
      <c r="R106" s="239"/>
      <c r="S106" s="238"/>
      <c r="T106" s="236">
        <f t="shared" si="27"/>
        <v>0</v>
      </c>
      <c r="U106" s="238"/>
      <c r="V106" s="239"/>
      <c r="W106" s="238"/>
      <c r="X106" s="236">
        <f t="shared" si="28"/>
        <v>0</v>
      </c>
      <c r="Y106" s="238"/>
      <c r="Z106" s="239"/>
      <c r="AA106" s="237">
        <f t="shared" si="29"/>
        <v>0</v>
      </c>
      <c r="AB106" s="236">
        <f t="shared" si="29"/>
        <v>0</v>
      </c>
      <c r="AC106" s="238"/>
      <c r="AD106" s="236">
        <f t="shared" si="30"/>
        <v>0</v>
      </c>
      <c r="AE106" s="237">
        <f t="shared" si="31"/>
        <v>0</v>
      </c>
      <c r="AF106" s="236">
        <f t="shared" si="31"/>
        <v>0</v>
      </c>
      <c r="AG106" s="238"/>
      <c r="AH106" s="236">
        <f t="shared" si="32"/>
        <v>0</v>
      </c>
      <c r="AI106" s="237">
        <f t="shared" si="33"/>
        <v>0</v>
      </c>
      <c r="AJ106" s="236">
        <f t="shared" si="33"/>
        <v>0</v>
      </c>
      <c r="AK106" s="238"/>
      <c r="AL106" s="236">
        <f t="shared" si="34"/>
        <v>0</v>
      </c>
      <c r="AM106" s="237">
        <f t="shared" si="35"/>
        <v>0</v>
      </c>
      <c r="AN106" s="236">
        <f t="shared" si="35"/>
        <v>0</v>
      </c>
      <c r="AO106" s="240"/>
      <c r="AP106" s="236">
        <f t="shared" si="36"/>
        <v>0</v>
      </c>
    </row>
    <row r="107" spans="1:42" s="134" customFormat="1">
      <c r="A107" s="185"/>
      <c r="B107" s="146"/>
      <c r="C107" s="186"/>
      <c r="D107" s="182"/>
      <c r="E107" s="187"/>
      <c r="F107" s="170"/>
      <c r="G107" s="242"/>
      <c r="H107" s="239"/>
      <c r="I107" s="238"/>
      <c r="J107" s="239"/>
      <c r="K107" s="238"/>
      <c r="L107" s="239"/>
      <c r="M107" s="238"/>
      <c r="N107" s="239"/>
      <c r="O107" s="238"/>
      <c r="P107" s="239"/>
      <c r="Q107" s="238"/>
      <c r="R107" s="239"/>
      <c r="S107" s="238"/>
      <c r="T107" s="236">
        <f t="shared" si="27"/>
        <v>0</v>
      </c>
      <c r="U107" s="238"/>
      <c r="V107" s="239"/>
      <c r="W107" s="238"/>
      <c r="X107" s="236">
        <f t="shared" si="28"/>
        <v>0</v>
      </c>
      <c r="Y107" s="238"/>
      <c r="Z107" s="239"/>
      <c r="AA107" s="237">
        <f t="shared" si="29"/>
        <v>0</v>
      </c>
      <c r="AB107" s="236">
        <f t="shared" si="29"/>
        <v>0</v>
      </c>
      <c r="AC107" s="238"/>
      <c r="AD107" s="236">
        <f t="shared" si="30"/>
        <v>0</v>
      </c>
      <c r="AE107" s="237">
        <f t="shared" si="31"/>
        <v>0</v>
      </c>
      <c r="AF107" s="236">
        <f t="shared" si="31"/>
        <v>0</v>
      </c>
      <c r="AG107" s="238"/>
      <c r="AH107" s="236">
        <f t="shared" si="32"/>
        <v>0</v>
      </c>
      <c r="AI107" s="237">
        <f t="shared" si="33"/>
        <v>0</v>
      </c>
      <c r="AJ107" s="236">
        <f t="shared" si="33"/>
        <v>0</v>
      </c>
      <c r="AK107" s="238"/>
      <c r="AL107" s="236">
        <f t="shared" si="34"/>
        <v>0</v>
      </c>
      <c r="AM107" s="237">
        <f t="shared" si="35"/>
        <v>0</v>
      </c>
      <c r="AN107" s="236">
        <f t="shared" si="35"/>
        <v>0</v>
      </c>
      <c r="AO107" s="240"/>
      <c r="AP107" s="236">
        <f t="shared" si="36"/>
        <v>0</v>
      </c>
    </row>
    <row r="108" spans="1:42" s="134" customFormat="1" ht="14.5">
      <c r="A108" s="185" t="s">
        <v>330</v>
      </c>
      <c r="B108" s="146" t="s">
        <v>456</v>
      </c>
      <c r="C108" s="186" t="s">
        <v>10</v>
      </c>
      <c r="D108" s="182">
        <f>'[34]TAKE OFF sHEET'!P27</f>
        <v>5</v>
      </c>
      <c r="E108" s="170">
        <v>11565</v>
      </c>
      <c r="F108" s="170">
        <f>D108*E108</f>
        <v>57825</v>
      </c>
      <c r="G108" s="242"/>
      <c r="H108" s="239"/>
      <c r="I108" s="238"/>
      <c r="J108" s="239"/>
      <c r="K108" s="238"/>
      <c r="L108" s="239"/>
      <c r="M108" s="238"/>
      <c r="N108" s="239"/>
      <c r="O108" s="238"/>
      <c r="P108" s="239"/>
      <c r="Q108" s="238"/>
      <c r="R108" s="239"/>
      <c r="S108" s="238"/>
      <c r="T108" s="236">
        <f t="shared" si="27"/>
        <v>0</v>
      </c>
      <c r="U108" s="238"/>
      <c r="V108" s="239"/>
      <c r="W108" s="238"/>
      <c r="X108" s="236">
        <f t="shared" si="28"/>
        <v>0</v>
      </c>
      <c r="Y108" s="238"/>
      <c r="Z108" s="239"/>
      <c r="AA108" s="237">
        <f t="shared" si="29"/>
        <v>0</v>
      </c>
      <c r="AB108" s="236">
        <f t="shared" si="29"/>
        <v>0</v>
      </c>
      <c r="AC108" s="238"/>
      <c r="AD108" s="236">
        <f t="shared" si="30"/>
        <v>0</v>
      </c>
      <c r="AE108" s="237">
        <f t="shared" si="31"/>
        <v>0</v>
      </c>
      <c r="AF108" s="236">
        <f t="shared" si="31"/>
        <v>0</v>
      </c>
      <c r="AG108" s="238"/>
      <c r="AH108" s="236">
        <f t="shared" si="32"/>
        <v>0</v>
      </c>
      <c r="AI108" s="237">
        <f t="shared" si="33"/>
        <v>0</v>
      </c>
      <c r="AJ108" s="236">
        <f t="shared" si="33"/>
        <v>0</v>
      </c>
      <c r="AK108" s="238"/>
      <c r="AL108" s="236">
        <f t="shared" si="34"/>
        <v>0</v>
      </c>
      <c r="AM108" s="237">
        <f t="shared" si="35"/>
        <v>0</v>
      </c>
      <c r="AN108" s="236">
        <f t="shared" si="35"/>
        <v>0</v>
      </c>
      <c r="AO108" s="240"/>
      <c r="AP108" s="236">
        <f t="shared" si="36"/>
        <v>0</v>
      </c>
    </row>
    <row r="109" spans="1:42" s="134" customFormat="1">
      <c r="A109" s="185"/>
      <c r="B109" s="188"/>
      <c r="C109" s="181"/>
      <c r="D109" s="182">
        <f>'[34]TAKE OFF sHEET'!P28</f>
        <v>0</v>
      </c>
      <c r="E109" s="184"/>
      <c r="F109" s="184"/>
      <c r="G109" s="242"/>
      <c r="H109" s="239"/>
      <c r="I109" s="238"/>
      <c r="J109" s="239"/>
      <c r="K109" s="238"/>
      <c r="L109" s="239"/>
      <c r="M109" s="238"/>
      <c r="N109" s="239"/>
      <c r="O109" s="238"/>
      <c r="P109" s="239"/>
      <c r="Q109" s="238"/>
      <c r="R109" s="239"/>
      <c r="S109" s="238"/>
      <c r="T109" s="236">
        <f t="shared" si="27"/>
        <v>0</v>
      </c>
      <c r="U109" s="238"/>
      <c r="V109" s="239"/>
      <c r="W109" s="238"/>
      <c r="X109" s="236">
        <f t="shared" si="28"/>
        <v>0</v>
      </c>
      <c r="Y109" s="238"/>
      <c r="Z109" s="239"/>
      <c r="AA109" s="237">
        <f t="shared" si="29"/>
        <v>0</v>
      </c>
      <c r="AB109" s="236">
        <f t="shared" si="29"/>
        <v>0</v>
      </c>
      <c r="AC109" s="238"/>
      <c r="AD109" s="236">
        <f t="shared" si="30"/>
        <v>0</v>
      </c>
      <c r="AE109" s="237">
        <f t="shared" si="31"/>
        <v>0</v>
      </c>
      <c r="AF109" s="236">
        <f t="shared" si="31"/>
        <v>0</v>
      </c>
      <c r="AG109" s="238"/>
      <c r="AH109" s="236">
        <f t="shared" si="32"/>
        <v>0</v>
      </c>
      <c r="AI109" s="237">
        <f t="shared" si="33"/>
        <v>0</v>
      </c>
      <c r="AJ109" s="236">
        <f t="shared" si="33"/>
        <v>0</v>
      </c>
      <c r="AK109" s="238"/>
      <c r="AL109" s="236">
        <f t="shared" si="34"/>
        <v>0</v>
      </c>
      <c r="AM109" s="237">
        <f t="shared" si="35"/>
        <v>0</v>
      </c>
      <c r="AN109" s="236">
        <f t="shared" si="35"/>
        <v>0</v>
      </c>
      <c r="AO109" s="240"/>
      <c r="AP109" s="236">
        <f t="shared" si="36"/>
        <v>0</v>
      </c>
    </row>
    <row r="110" spans="1:42" s="134" customFormat="1" ht="27" hidden="1">
      <c r="A110" s="185" t="s">
        <v>332</v>
      </c>
      <c r="B110" s="146" t="s">
        <v>333</v>
      </c>
      <c r="C110" s="186" t="s">
        <v>10</v>
      </c>
      <c r="D110" s="182">
        <f>'[34]TAKE OFF sHEET'!P29</f>
        <v>4</v>
      </c>
      <c r="E110" s="170">
        <v>13875</v>
      </c>
      <c r="F110" s="170">
        <f>D110*E110</f>
        <v>55500</v>
      </c>
      <c r="G110" s="242"/>
      <c r="H110" s="239"/>
      <c r="I110" s="238"/>
      <c r="J110" s="239"/>
      <c r="K110" s="238"/>
      <c r="L110" s="239"/>
      <c r="M110" s="238"/>
      <c r="N110" s="239"/>
      <c r="O110" s="238"/>
      <c r="P110" s="239"/>
      <c r="Q110" s="238"/>
      <c r="R110" s="239"/>
      <c r="S110" s="238"/>
      <c r="T110" s="236">
        <f t="shared" si="27"/>
        <v>0</v>
      </c>
      <c r="U110" s="238"/>
      <c r="V110" s="239"/>
      <c r="W110" s="238"/>
      <c r="X110" s="236">
        <f t="shared" si="28"/>
        <v>0</v>
      </c>
      <c r="Y110" s="238"/>
      <c r="Z110" s="239"/>
      <c r="AA110" s="237">
        <f t="shared" si="29"/>
        <v>0</v>
      </c>
      <c r="AB110" s="236">
        <f t="shared" si="29"/>
        <v>0</v>
      </c>
      <c r="AC110" s="238"/>
      <c r="AD110" s="236">
        <f t="shared" si="30"/>
        <v>0</v>
      </c>
      <c r="AE110" s="237">
        <f t="shared" si="31"/>
        <v>0</v>
      </c>
      <c r="AF110" s="236">
        <f t="shared" si="31"/>
        <v>0</v>
      </c>
      <c r="AG110" s="238"/>
      <c r="AH110" s="236">
        <f t="shared" si="32"/>
        <v>0</v>
      </c>
      <c r="AI110" s="237">
        <f t="shared" si="33"/>
        <v>0</v>
      </c>
      <c r="AJ110" s="236">
        <f t="shared" si="33"/>
        <v>0</v>
      </c>
      <c r="AK110" s="238"/>
      <c r="AL110" s="236">
        <f t="shared" si="34"/>
        <v>0</v>
      </c>
      <c r="AM110" s="237">
        <f t="shared" si="35"/>
        <v>0</v>
      </c>
      <c r="AN110" s="236">
        <f t="shared" si="35"/>
        <v>0</v>
      </c>
      <c r="AO110" s="240"/>
      <c r="AP110" s="236">
        <f t="shared" si="36"/>
        <v>0</v>
      </c>
    </row>
    <row r="111" spans="1:42" s="134" customFormat="1" hidden="1">
      <c r="A111" s="185"/>
      <c r="B111" s="188"/>
      <c r="C111" s="181"/>
      <c r="D111" s="182">
        <f>'[34]TAKE OFF sHEET'!P30</f>
        <v>0</v>
      </c>
      <c r="E111" s="187"/>
      <c r="F111" s="184"/>
      <c r="G111" s="242"/>
      <c r="H111" s="239"/>
      <c r="I111" s="238"/>
      <c r="J111" s="239"/>
      <c r="K111" s="238"/>
      <c r="L111" s="239"/>
      <c r="M111" s="238"/>
      <c r="N111" s="239"/>
      <c r="O111" s="238"/>
      <c r="P111" s="239"/>
      <c r="Q111" s="238"/>
      <c r="R111" s="239"/>
      <c r="S111" s="238"/>
      <c r="T111" s="236">
        <f t="shared" si="27"/>
        <v>0</v>
      </c>
      <c r="U111" s="238"/>
      <c r="V111" s="239"/>
      <c r="W111" s="238"/>
      <c r="X111" s="236">
        <f t="shared" si="28"/>
        <v>0</v>
      </c>
      <c r="Y111" s="238"/>
      <c r="Z111" s="239"/>
      <c r="AA111" s="237">
        <f t="shared" si="29"/>
        <v>0</v>
      </c>
      <c r="AB111" s="236">
        <f t="shared" si="29"/>
        <v>0</v>
      </c>
      <c r="AC111" s="238"/>
      <c r="AD111" s="236">
        <f t="shared" si="30"/>
        <v>0</v>
      </c>
      <c r="AE111" s="237">
        <f t="shared" si="31"/>
        <v>0</v>
      </c>
      <c r="AF111" s="236">
        <f t="shared" si="31"/>
        <v>0</v>
      </c>
      <c r="AG111" s="238"/>
      <c r="AH111" s="236">
        <f t="shared" si="32"/>
        <v>0</v>
      </c>
      <c r="AI111" s="237">
        <f t="shared" si="33"/>
        <v>0</v>
      </c>
      <c r="AJ111" s="236">
        <f t="shared" si="33"/>
        <v>0</v>
      </c>
      <c r="AK111" s="238"/>
      <c r="AL111" s="236">
        <f t="shared" si="34"/>
        <v>0</v>
      </c>
      <c r="AM111" s="237">
        <f t="shared" si="35"/>
        <v>0</v>
      </c>
      <c r="AN111" s="236">
        <f t="shared" si="35"/>
        <v>0</v>
      </c>
      <c r="AO111" s="240"/>
      <c r="AP111" s="236">
        <f t="shared" si="36"/>
        <v>0</v>
      </c>
    </row>
    <row r="112" spans="1:42" s="134" customFormat="1">
      <c r="A112" s="179"/>
      <c r="B112" s="190" t="s">
        <v>457</v>
      </c>
      <c r="C112" s="181"/>
      <c r="D112" s="182">
        <f>'[34]TAKE OFF sHEET'!P31</f>
        <v>0</v>
      </c>
      <c r="E112" s="183"/>
      <c r="F112" s="184"/>
      <c r="G112" s="242"/>
      <c r="H112" s="239"/>
      <c r="I112" s="238"/>
      <c r="J112" s="239"/>
      <c r="K112" s="238"/>
      <c r="L112" s="239"/>
      <c r="M112" s="238"/>
      <c r="N112" s="239"/>
      <c r="O112" s="238"/>
      <c r="P112" s="239"/>
      <c r="Q112" s="238"/>
      <c r="R112" s="239"/>
      <c r="S112" s="238"/>
      <c r="T112" s="236">
        <f t="shared" si="27"/>
        <v>0</v>
      </c>
      <c r="U112" s="238"/>
      <c r="V112" s="239"/>
      <c r="W112" s="238"/>
      <c r="X112" s="236">
        <f t="shared" si="28"/>
        <v>0</v>
      </c>
      <c r="Y112" s="238"/>
      <c r="Z112" s="239"/>
      <c r="AA112" s="237">
        <f t="shared" si="29"/>
        <v>0</v>
      </c>
      <c r="AB112" s="236">
        <f t="shared" si="29"/>
        <v>0</v>
      </c>
      <c r="AC112" s="238"/>
      <c r="AD112" s="236">
        <f t="shared" si="30"/>
        <v>0</v>
      </c>
      <c r="AE112" s="237">
        <f t="shared" si="31"/>
        <v>0</v>
      </c>
      <c r="AF112" s="236">
        <f t="shared" si="31"/>
        <v>0</v>
      </c>
      <c r="AG112" s="238"/>
      <c r="AH112" s="236">
        <f t="shared" si="32"/>
        <v>0</v>
      </c>
      <c r="AI112" s="237">
        <f t="shared" si="33"/>
        <v>0</v>
      </c>
      <c r="AJ112" s="236">
        <f t="shared" si="33"/>
        <v>0</v>
      </c>
      <c r="AK112" s="238"/>
      <c r="AL112" s="236">
        <f t="shared" si="34"/>
        <v>0</v>
      </c>
      <c r="AM112" s="237">
        <f t="shared" si="35"/>
        <v>0</v>
      </c>
      <c r="AN112" s="236">
        <f t="shared" si="35"/>
        <v>0</v>
      </c>
      <c r="AO112" s="240"/>
      <c r="AP112" s="236">
        <f t="shared" si="36"/>
        <v>0</v>
      </c>
    </row>
    <row r="113" spans="1:42" s="134" customFormat="1">
      <c r="A113" s="185"/>
      <c r="B113" s="191"/>
      <c r="C113" s="181"/>
      <c r="D113" s="182">
        <f>'[34]TAKE OFF sHEET'!P32</f>
        <v>0</v>
      </c>
      <c r="E113" s="187"/>
      <c r="F113" s="184"/>
      <c r="G113" s="242"/>
      <c r="H113" s="239"/>
      <c r="I113" s="238"/>
      <c r="J113" s="239"/>
      <c r="K113" s="238"/>
      <c r="L113" s="239"/>
      <c r="M113" s="238"/>
      <c r="N113" s="239"/>
      <c r="O113" s="238"/>
      <c r="P113" s="239"/>
      <c r="Q113" s="238"/>
      <c r="R113" s="239"/>
      <c r="S113" s="238"/>
      <c r="T113" s="236">
        <f t="shared" si="27"/>
        <v>0</v>
      </c>
      <c r="U113" s="238"/>
      <c r="V113" s="239"/>
      <c r="W113" s="238"/>
      <c r="X113" s="236">
        <f t="shared" si="28"/>
        <v>0</v>
      </c>
      <c r="Y113" s="238"/>
      <c r="Z113" s="239"/>
      <c r="AA113" s="237">
        <f t="shared" si="29"/>
        <v>0</v>
      </c>
      <c r="AB113" s="236">
        <f t="shared" si="29"/>
        <v>0</v>
      </c>
      <c r="AC113" s="238"/>
      <c r="AD113" s="236">
        <f t="shared" si="30"/>
        <v>0</v>
      </c>
      <c r="AE113" s="237">
        <f t="shared" si="31"/>
        <v>0</v>
      </c>
      <c r="AF113" s="236">
        <f t="shared" si="31"/>
        <v>0</v>
      </c>
      <c r="AG113" s="238"/>
      <c r="AH113" s="236">
        <f t="shared" si="32"/>
        <v>0</v>
      </c>
      <c r="AI113" s="237">
        <f t="shared" si="33"/>
        <v>0</v>
      </c>
      <c r="AJ113" s="236">
        <f t="shared" si="33"/>
        <v>0</v>
      </c>
      <c r="AK113" s="238"/>
      <c r="AL113" s="236">
        <f t="shared" si="34"/>
        <v>0</v>
      </c>
      <c r="AM113" s="237">
        <f t="shared" si="35"/>
        <v>0</v>
      </c>
      <c r="AN113" s="236">
        <f t="shared" si="35"/>
        <v>0</v>
      </c>
      <c r="AO113" s="240"/>
      <c r="AP113" s="236">
        <f t="shared" si="36"/>
        <v>0</v>
      </c>
    </row>
    <row r="114" spans="1:42" s="134" customFormat="1" ht="25">
      <c r="A114" s="185" t="s">
        <v>335</v>
      </c>
      <c r="B114" s="191" t="s">
        <v>458</v>
      </c>
      <c r="C114" s="181" t="s">
        <v>10</v>
      </c>
      <c r="D114" s="182">
        <f>'[34]TAKE OFF sHEET'!P33</f>
        <v>4</v>
      </c>
      <c r="E114" s="159">
        <v>67400</v>
      </c>
      <c r="F114" s="170">
        <f>D114*E114</f>
        <v>269600</v>
      </c>
      <c r="G114" s="242"/>
      <c r="H114" s="239"/>
      <c r="I114" s="238">
        <v>8</v>
      </c>
      <c r="J114" s="239">
        <f>E114*I114</f>
        <v>539200</v>
      </c>
      <c r="K114" s="238">
        <f>I114+G114</f>
        <v>8</v>
      </c>
      <c r="L114" s="239">
        <f>J114+H114</f>
        <v>539200</v>
      </c>
      <c r="M114" s="238">
        <v>15</v>
      </c>
      <c r="N114" s="239">
        <f>M114*E114</f>
        <v>1011000</v>
      </c>
      <c r="O114" s="238">
        <f>M114+K114</f>
        <v>23</v>
      </c>
      <c r="P114" s="239">
        <f>O114*E114</f>
        <v>1550200</v>
      </c>
      <c r="Q114" s="238">
        <v>12</v>
      </c>
      <c r="R114" s="239">
        <f>Q114*E114</f>
        <v>808800</v>
      </c>
      <c r="S114" s="238">
        <f>Q114+O114</f>
        <v>35</v>
      </c>
      <c r="T114" s="236">
        <f t="shared" si="27"/>
        <v>2359000</v>
      </c>
      <c r="U114" s="238"/>
      <c r="V114" s="239">
        <f>U114*I114</f>
        <v>0</v>
      </c>
      <c r="W114" s="238">
        <f>U114+S114</f>
        <v>35</v>
      </c>
      <c r="X114" s="236">
        <f t="shared" si="28"/>
        <v>2359000</v>
      </c>
      <c r="Y114" s="238"/>
      <c r="Z114" s="239">
        <f>Y114*M114</f>
        <v>0</v>
      </c>
      <c r="AA114" s="237">
        <f t="shared" si="29"/>
        <v>35</v>
      </c>
      <c r="AB114" s="236">
        <f t="shared" si="29"/>
        <v>2359000</v>
      </c>
      <c r="AC114" s="238"/>
      <c r="AD114" s="236">
        <f t="shared" si="30"/>
        <v>0</v>
      </c>
      <c r="AE114" s="237">
        <f t="shared" si="31"/>
        <v>35</v>
      </c>
      <c r="AF114" s="236">
        <f t="shared" si="31"/>
        <v>2359000</v>
      </c>
      <c r="AG114" s="238"/>
      <c r="AH114" s="236">
        <f t="shared" si="32"/>
        <v>0</v>
      </c>
      <c r="AI114" s="237">
        <f t="shared" si="33"/>
        <v>35</v>
      </c>
      <c r="AJ114" s="236">
        <f t="shared" si="33"/>
        <v>2359000</v>
      </c>
      <c r="AK114" s="238"/>
      <c r="AL114" s="236">
        <f t="shared" si="34"/>
        <v>0</v>
      </c>
      <c r="AM114" s="237">
        <f t="shared" si="35"/>
        <v>35</v>
      </c>
      <c r="AN114" s="236">
        <f t="shared" si="35"/>
        <v>2359000</v>
      </c>
      <c r="AO114" s="240"/>
      <c r="AP114" s="236">
        <f t="shared" si="36"/>
        <v>0</v>
      </c>
    </row>
    <row r="115" spans="1:42" s="134" customFormat="1">
      <c r="A115" s="185"/>
      <c r="B115" s="191"/>
      <c r="C115" s="181"/>
      <c r="D115" s="182">
        <f>'[34]TAKE OFF sHEET'!P34</f>
        <v>0</v>
      </c>
      <c r="E115" s="159"/>
      <c r="F115" s="184"/>
      <c r="G115" s="242"/>
      <c r="H115" s="239"/>
      <c r="I115" s="238"/>
      <c r="J115" s="239"/>
      <c r="K115" s="238"/>
      <c r="L115" s="239"/>
      <c r="M115" s="238"/>
      <c r="N115" s="239"/>
      <c r="O115" s="238"/>
      <c r="P115" s="239"/>
      <c r="Q115" s="238"/>
      <c r="R115" s="239"/>
      <c r="S115" s="238"/>
      <c r="T115" s="236">
        <f t="shared" si="27"/>
        <v>0</v>
      </c>
      <c r="U115" s="238"/>
      <c r="V115" s="239"/>
      <c r="W115" s="238"/>
      <c r="X115" s="236">
        <f t="shared" si="28"/>
        <v>0</v>
      </c>
      <c r="Y115" s="238"/>
      <c r="Z115" s="239"/>
      <c r="AA115" s="237">
        <f t="shared" si="29"/>
        <v>0</v>
      </c>
      <c r="AB115" s="236">
        <f t="shared" si="29"/>
        <v>0</v>
      </c>
      <c r="AC115" s="238"/>
      <c r="AD115" s="236">
        <f t="shared" si="30"/>
        <v>0</v>
      </c>
      <c r="AE115" s="237">
        <f t="shared" si="31"/>
        <v>0</v>
      </c>
      <c r="AF115" s="236">
        <f t="shared" si="31"/>
        <v>0</v>
      </c>
      <c r="AG115" s="238"/>
      <c r="AH115" s="236">
        <f t="shared" si="32"/>
        <v>0</v>
      </c>
      <c r="AI115" s="237">
        <f t="shared" si="33"/>
        <v>0</v>
      </c>
      <c r="AJ115" s="236">
        <f t="shared" si="33"/>
        <v>0</v>
      </c>
      <c r="AK115" s="238"/>
      <c r="AL115" s="236">
        <f t="shared" si="34"/>
        <v>0</v>
      </c>
      <c r="AM115" s="237">
        <f t="shared" si="35"/>
        <v>0</v>
      </c>
      <c r="AN115" s="236">
        <f t="shared" si="35"/>
        <v>0</v>
      </c>
      <c r="AO115" s="240"/>
      <c r="AP115" s="236">
        <f t="shared" si="36"/>
        <v>0</v>
      </c>
    </row>
    <row r="116" spans="1:42" s="134" customFormat="1" ht="25">
      <c r="A116" s="185" t="s">
        <v>337</v>
      </c>
      <c r="B116" s="192" t="s">
        <v>459</v>
      </c>
      <c r="C116" s="186" t="s">
        <v>10</v>
      </c>
      <c r="D116" s="182">
        <f>'[34]TAKE OFF sHEET'!P35</f>
        <v>5</v>
      </c>
      <c r="E116" s="159">
        <v>67400</v>
      </c>
      <c r="F116" s="170">
        <f>D116*E116</f>
        <v>337000</v>
      </c>
      <c r="G116" s="242"/>
      <c r="H116" s="239"/>
      <c r="I116" s="238">
        <v>6</v>
      </c>
      <c r="J116" s="239">
        <f>E116*I116</f>
        <v>404400</v>
      </c>
      <c r="K116" s="238">
        <f>I116+G116</f>
        <v>6</v>
      </c>
      <c r="L116" s="239">
        <f>J116+H116</f>
        <v>404400</v>
      </c>
      <c r="M116" s="238">
        <v>12</v>
      </c>
      <c r="N116" s="239">
        <f>M116*E116</f>
        <v>808800</v>
      </c>
      <c r="O116" s="238">
        <f>M116+K116</f>
        <v>18</v>
      </c>
      <c r="P116" s="239">
        <f>O116*E116</f>
        <v>1213200</v>
      </c>
      <c r="Q116" s="238">
        <v>8</v>
      </c>
      <c r="R116" s="239">
        <f>Q116*E116</f>
        <v>539200</v>
      </c>
      <c r="S116" s="238">
        <f>Q116+O116</f>
        <v>26</v>
      </c>
      <c r="T116" s="236">
        <f t="shared" si="27"/>
        <v>1752400</v>
      </c>
      <c r="U116" s="238"/>
      <c r="V116" s="239">
        <f>U116*I116</f>
        <v>0</v>
      </c>
      <c r="W116" s="238">
        <f>U116+S116</f>
        <v>26</v>
      </c>
      <c r="X116" s="236">
        <f t="shared" si="28"/>
        <v>1752400</v>
      </c>
      <c r="Y116" s="238"/>
      <c r="Z116" s="239">
        <f>Y116*M116</f>
        <v>0</v>
      </c>
      <c r="AA116" s="237">
        <f t="shared" si="29"/>
        <v>26</v>
      </c>
      <c r="AB116" s="236">
        <f t="shared" si="29"/>
        <v>1752400</v>
      </c>
      <c r="AC116" s="238"/>
      <c r="AD116" s="236">
        <f t="shared" si="30"/>
        <v>0</v>
      </c>
      <c r="AE116" s="237">
        <f t="shared" si="31"/>
        <v>26</v>
      </c>
      <c r="AF116" s="236">
        <f t="shared" si="31"/>
        <v>1752400</v>
      </c>
      <c r="AG116" s="238"/>
      <c r="AH116" s="236">
        <f t="shared" si="32"/>
        <v>0</v>
      </c>
      <c r="AI116" s="237">
        <f t="shared" si="33"/>
        <v>26</v>
      </c>
      <c r="AJ116" s="236">
        <f t="shared" si="33"/>
        <v>1752400</v>
      </c>
      <c r="AK116" s="238"/>
      <c r="AL116" s="236">
        <f t="shared" si="34"/>
        <v>0</v>
      </c>
      <c r="AM116" s="237">
        <f t="shared" si="35"/>
        <v>26</v>
      </c>
      <c r="AN116" s="236">
        <f t="shared" si="35"/>
        <v>1752400</v>
      </c>
      <c r="AO116" s="240"/>
      <c r="AP116" s="236">
        <f t="shared" si="36"/>
        <v>0</v>
      </c>
    </row>
    <row r="117" spans="1:42" s="134" customFormat="1">
      <c r="A117" s="185"/>
      <c r="B117" s="192"/>
      <c r="C117" s="186"/>
      <c r="D117" s="182">
        <f>'[34]TAKE OFF sHEET'!P36</f>
        <v>0</v>
      </c>
      <c r="E117" s="159"/>
      <c r="F117" s="170"/>
      <c r="G117" s="242"/>
      <c r="H117" s="239"/>
      <c r="I117" s="238"/>
      <c r="J117" s="239"/>
      <c r="K117" s="238"/>
      <c r="L117" s="239"/>
      <c r="M117" s="238"/>
      <c r="N117" s="239"/>
      <c r="O117" s="238"/>
      <c r="P117" s="239"/>
      <c r="Q117" s="238"/>
      <c r="R117" s="239"/>
      <c r="S117" s="238"/>
      <c r="T117" s="236"/>
      <c r="U117" s="238"/>
      <c r="V117" s="239"/>
      <c r="W117" s="238"/>
      <c r="X117" s="236"/>
      <c r="Y117" s="238"/>
      <c r="Z117" s="239"/>
      <c r="AA117" s="237"/>
      <c r="AB117" s="236"/>
      <c r="AC117" s="238"/>
      <c r="AD117" s="236"/>
      <c r="AE117" s="237"/>
      <c r="AF117" s="236"/>
      <c r="AG117" s="238"/>
      <c r="AH117" s="236"/>
      <c r="AI117" s="237"/>
      <c r="AJ117" s="236"/>
      <c r="AK117" s="238"/>
      <c r="AL117" s="236"/>
      <c r="AM117" s="237"/>
      <c r="AN117" s="236"/>
      <c r="AO117" s="240"/>
      <c r="AP117" s="236"/>
    </row>
    <row r="118" spans="1:42" s="134" customFormat="1">
      <c r="A118" s="179"/>
      <c r="B118" s="190" t="s">
        <v>460</v>
      </c>
      <c r="C118" s="181"/>
      <c r="D118" s="182">
        <f>'[34]TAKE OFF sHEET'!P37</f>
        <v>0</v>
      </c>
      <c r="E118" s="183"/>
      <c r="F118" s="193"/>
      <c r="G118" s="242"/>
      <c r="H118" s="239"/>
      <c r="I118" s="238"/>
      <c r="J118" s="239"/>
      <c r="K118" s="238"/>
      <c r="L118" s="239"/>
      <c r="M118" s="238"/>
      <c r="N118" s="239"/>
      <c r="O118" s="238"/>
      <c r="P118" s="239"/>
      <c r="Q118" s="238"/>
      <c r="R118" s="239"/>
      <c r="S118" s="238"/>
      <c r="T118" s="236">
        <f t="shared" si="27"/>
        <v>0</v>
      </c>
      <c r="U118" s="238"/>
      <c r="V118" s="239"/>
      <c r="W118" s="238"/>
      <c r="X118" s="236">
        <f t="shared" si="28"/>
        <v>0</v>
      </c>
      <c r="Y118" s="238"/>
      <c r="Z118" s="239"/>
      <c r="AA118" s="237">
        <f t="shared" si="29"/>
        <v>0</v>
      </c>
      <c r="AB118" s="236">
        <f t="shared" si="29"/>
        <v>0</v>
      </c>
      <c r="AC118" s="238"/>
      <c r="AD118" s="236">
        <f t="shared" si="30"/>
        <v>0</v>
      </c>
      <c r="AE118" s="237">
        <f t="shared" si="31"/>
        <v>0</v>
      </c>
      <c r="AF118" s="236">
        <f t="shared" si="31"/>
        <v>0</v>
      </c>
      <c r="AG118" s="238"/>
      <c r="AH118" s="236">
        <f t="shared" si="32"/>
        <v>0</v>
      </c>
      <c r="AI118" s="237">
        <f t="shared" si="33"/>
        <v>0</v>
      </c>
      <c r="AJ118" s="236">
        <f t="shared" si="33"/>
        <v>0</v>
      </c>
      <c r="AK118" s="238"/>
      <c r="AL118" s="236">
        <f t="shared" si="34"/>
        <v>0</v>
      </c>
      <c r="AM118" s="237">
        <f t="shared" ref="AM118:AN134" si="37">AK118+AI118</f>
        <v>0</v>
      </c>
      <c r="AN118" s="236">
        <f t="shared" si="37"/>
        <v>0</v>
      </c>
      <c r="AO118" s="240"/>
      <c r="AP118" s="236">
        <f t="shared" si="36"/>
        <v>0</v>
      </c>
    </row>
    <row r="119" spans="1:42" s="134" customFormat="1" ht="13">
      <c r="A119" s="185"/>
      <c r="B119" s="152" t="s">
        <v>461</v>
      </c>
      <c r="C119" s="181"/>
      <c r="D119" s="182">
        <f>'[34]TAKE OFF sHEET'!P38</f>
        <v>0</v>
      </c>
      <c r="E119" s="187"/>
      <c r="F119" s="184"/>
      <c r="G119" s="242"/>
      <c r="H119" s="239"/>
      <c r="I119" s="238"/>
      <c r="J119" s="239"/>
      <c r="K119" s="238"/>
      <c r="L119" s="239"/>
      <c r="M119" s="238"/>
      <c r="N119" s="239"/>
      <c r="O119" s="238"/>
      <c r="P119" s="239"/>
      <c r="Q119" s="238"/>
      <c r="R119" s="239"/>
      <c r="S119" s="238"/>
      <c r="T119" s="236">
        <f t="shared" si="27"/>
        <v>0</v>
      </c>
      <c r="U119" s="238"/>
      <c r="V119" s="239"/>
      <c r="W119" s="238"/>
      <c r="X119" s="236">
        <f t="shared" si="28"/>
        <v>0</v>
      </c>
      <c r="Y119" s="238"/>
      <c r="Z119" s="239"/>
      <c r="AA119" s="237">
        <f t="shared" si="29"/>
        <v>0</v>
      </c>
      <c r="AB119" s="236">
        <f t="shared" si="29"/>
        <v>0</v>
      </c>
      <c r="AC119" s="238"/>
      <c r="AD119" s="236">
        <f t="shared" si="30"/>
        <v>0</v>
      </c>
      <c r="AE119" s="237">
        <f t="shared" si="31"/>
        <v>0</v>
      </c>
      <c r="AF119" s="236">
        <f t="shared" si="31"/>
        <v>0</v>
      </c>
      <c r="AG119" s="238"/>
      <c r="AH119" s="236">
        <f t="shared" si="32"/>
        <v>0</v>
      </c>
      <c r="AI119" s="237">
        <f t="shared" si="33"/>
        <v>0</v>
      </c>
      <c r="AJ119" s="236">
        <f t="shared" si="33"/>
        <v>0</v>
      </c>
      <c r="AK119" s="238"/>
      <c r="AL119" s="236">
        <f t="shared" si="34"/>
        <v>0</v>
      </c>
      <c r="AM119" s="237">
        <f t="shared" si="37"/>
        <v>0</v>
      </c>
      <c r="AN119" s="236">
        <f t="shared" si="37"/>
        <v>0</v>
      </c>
      <c r="AO119" s="240"/>
      <c r="AP119" s="236">
        <f t="shared" si="36"/>
        <v>0</v>
      </c>
    </row>
    <row r="120" spans="1:42" s="134" customFormat="1" ht="13">
      <c r="A120" s="185"/>
      <c r="B120" s="152"/>
      <c r="C120" s="181"/>
      <c r="D120" s="182">
        <f>'[34]TAKE OFF sHEET'!P39</f>
        <v>0</v>
      </c>
      <c r="E120" s="187"/>
      <c r="F120" s="184"/>
      <c r="G120" s="242"/>
      <c r="H120" s="239"/>
      <c r="I120" s="238"/>
      <c r="J120" s="239"/>
      <c r="K120" s="238"/>
      <c r="L120" s="239"/>
      <c r="M120" s="238"/>
      <c r="N120" s="239"/>
      <c r="O120" s="238"/>
      <c r="P120" s="239"/>
      <c r="Q120" s="238"/>
      <c r="R120" s="239"/>
      <c r="S120" s="238"/>
      <c r="T120" s="236"/>
      <c r="U120" s="238"/>
      <c r="V120" s="239"/>
      <c r="W120" s="238"/>
      <c r="X120" s="236"/>
      <c r="Y120" s="238"/>
      <c r="Z120" s="239"/>
      <c r="AA120" s="237"/>
      <c r="AB120" s="236"/>
      <c r="AC120" s="238"/>
      <c r="AD120" s="236"/>
      <c r="AE120" s="237"/>
      <c r="AF120" s="236"/>
      <c r="AG120" s="238"/>
      <c r="AH120" s="236"/>
      <c r="AI120" s="237"/>
      <c r="AJ120" s="236"/>
      <c r="AK120" s="238"/>
      <c r="AL120" s="236"/>
      <c r="AM120" s="237"/>
      <c r="AN120" s="236"/>
      <c r="AO120" s="240"/>
      <c r="AP120" s="236"/>
    </row>
    <row r="121" spans="1:42" s="134" customFormat="1">
      <c r="A121" s="185" t="s">
        <v>340</v>
      </c>
      <c r="B121" s="146" t="s">
        <v>462</v>
      </c>
      <c r="C121" s="186" t="s">
        <v>10</v>
      </c>
      <c r="D121" s="182">
        <f>'[34]TAKE OFF sHEET'!P40</f>
        <v>5</v>
      </c>
      <c r="E121" s="187">
        <v>7500</v>
      </c>
      <c r="F121" s="170">
        <f>D121*E121</f>
        <v>37500</v>
      </c>
      <c r="G121" s="242"/>
      <c r="H121" s="239"/>
      <c r="I121" s="238"/>
      <c r="J121" s="239"/>
      <c r="K121" s="238"/>
      <c r="L121" s="239"/>
      <c r="M121" s="238"/>
      <c r="N121" s="239"/>
      <c r="O121" s="238"/>
      <c r="P121" s="239"/>
      <c r="Q121" s="238"/>
      <c r="R121" s="239"/>
      <c r="S121" s="238"/>
      <c r="T121" s="236">
        <f t="shared" si="27"/>
        <v>0</v>
      </c>
      <c r="U121" s="238"/>
      <c r="V121" s="239"/>
      <c r="W121" s="238"/>
      <c r="X121" s="236">
        <f t="shared" si="28"/>
        <v>0</v>
      </c>
      <c r="Y121" s="238"/>
      <c r="Z121" s="239"/>
      <c r="AA121" s="237">
        <f t="shared" si="29"/>
        <v>0</v>
      </c>
      <c r="AB121" s="236">
        <f t="shared" si="29"/>
        <v>0</v>
      </c>
      <c r="AC121" s="238"/>
      <c r="AD121" s="236">
        <f t="shared" si="30"/>
        <v>0</v>
      </c>
      <c r="AE121" s="237">
        <f t="shared" si="31"/>
        <v>0</v>
      </c>
      <c r="AF121" s="236">
        <f t="shared" si="31"/>
        <v>0</v>
      </c>
      <c r="AG121" s="238"/>
      <c r="AH121" s="236">
        <f t="shared" si="32"/>
        <v>0</v>
      </c>
      <c r="AI121" s="237">
        <f t="shared" si="33"/>
        <v>0</v>
      </c>
      <c r="AJ121" s="236">
        <f t="shared" si="33"/>
        <v>0</v>
      </c>
      <c r="AK121" s="238"/>
      <c r="AL121" s="236">
        <f t="shared" si="34"/>
        <v>0</v>
      </c>
      <c r="AM121" s="237">
        <f t="shared" si="37"/>
        <v>0</v>
      </c>
      <c r="AN121" s="236">
        <f t="shared" si="37"/>
        <v>0</v>
      </c>
      <c r="AO121" s="240"/>
      <c r="AP121" s="236">
        <f t="shared" si="36"/>
        <v>0</v>
      </c>
    </row>
    <row r="122" spans="1:42" s="134" customFormat="1">
      <c r="A122" s="185"/>
      <c r="B122" s="188"/>
      <c r="C122" s="181"/>
      <c r="D122" s="182">
        <f>'[34]TAKE OFF sHEET'!P41</f>
        <v>0</v>
      </c>
      <c r="E122" s="187"/>
      <c r="F122" s="184"/>
      <c r="G122" s="242"/>
      <c r="H122" s="239"/>
      <c r="I122" s="238"/>
      <c r="J122" s="239"/>
      <c r="K122" s="238"/>
      <c r="L122" s="239"/>
      <c r="M122" s="238"/>
      <c r="N122" s="239"/>
      <c r="O122" s="238"/>
      <c r="P122" s="239"/>
      <c r="Q122" s="238"/>
      <c r="R122" s="239"/>
      <c r="S122" s="238"/>
      <c r="T122" s="236">
        <f t="shared" si="27"/>
        <v>0</v>
      </c>
      <c r="U122" s="238"/>
      <c r="V122" s="239"/>
      <c r="W122" s="238"/>
      <c r="X122" s="236">
        <f t="shared" si="28"/>
        <v>0</v>
      </c>
      <c r="Y122" s="238"/>
      <c r="Z122" s="239"/>
      <c r="AA122" s="237">
        <f t="shared" si="29"/>
        <v>0</v>
      </c>
      <c r="AB122" s="236">
        <f t="shared" si="29"/>
        <v>0</v>
      </c>
      <c r="AC122" s="238"/>
      <c r="AD122" s="236">
        <f t="shared" si="30"/>
        <v>0</v>
      </c>
      <c r="AE122" s="237">
        <f t="shared" si="31"/>
        <v>0</v>
      </c>
      <c r="AF122" s="236">
        <f t="shared" si="31"/>
        <v>0</v>
      </c>
      <c r="AG122" s="238"/>
      <c r="AH122" s="236">
        <f t="shared" si="32"/>
        <v>0</v>
      </c>
      <c r="AI122" s="237">
        <f t="shared" si="33"/>
        <v>0</v>
      </c>
      <c r="AJ122" s="236">
        <f t="shared" si="33"/>
        <v>0</v>
      </c>
      <c r="AK122" s="238"/>
      <c r="AL122" s="236">
        <f t="shared" si="34"/>
        <v>0</v>
      </c>
      <c r="AM122" s="237">
        <f t="shared" si="37"/>
        <v>0</v>
      </c>
      <c r="AN122" s="236">
        <f t="shared" si="37"/>
        <v>0</v>
      </c>
      <c r="AO122" s="240"/>
      <c r="AP122" s="236">
        <f t="shared" si="36"/>
        <v>0</v>
      </c>
    </row>
    <row r="123" spans="1:42" s="134" customFormat="1">
      <c r="A123" s="185" t="s">
        <v>342</v>
      </c>
      <c r="B123" s="146" t="s">
        <v>463</v>
      </c>
      <c r="C123" s="186" t="s">
        <v>10</v>
      </c>
      <c r="D123" s="182">
        <f>'[34]TAKE OFF sHEET'!P42</f>
        <v>18</v>
      </c>
      <c r="E123" s="187">
        <v>20000</v>
      </c>
      <c r="F123" s="170">
        <f>D123*E123</f>
        <v>360000</v>
      </c>
      <c r="G123" s="242"/>
      <c r="H123" s="239"/>
      <c r="I123" s="238"/>
      <c r="J123" s="239"/>
      <c r="K123" s="238"/>
      <c r="L123" s="239"/>
      <c r="M123" s="238"/>
      <c r="N123" s="239"/>
      <c r="O123" s="238"/>
      <c r="P123" s="239"/>
      <c r="Q123" s="238"/>
      <c r="R123" s="239"/>
      <c r="S123" s="238"/>
      <c r="T123" s="236">
        <f t="shared" si="27"/>
        <v>0</v>
      </c>
      <c r="U123" s="238"/>
      <c r="V123" s="239"/>
      <c r="W123" s="238"/>
      <c r="X123" s="236">
        <f t="shared" si="28"/>
        <v>0</v>
      </c>
      <c r="Y123" s="238"/>
      <c r="Z123" s="239"/>
      <c r="AA123" s="237">
        <f t="shared" si="29"/>
        <v>0</v>
      </c>
      <c r="AB123" s="236">
        <f t="shared" si="29"/>
        <v>0</v>
      </c>
      <c r="AC123" s="238"/>
      <c r="AD123" s="236">
        <f t="shared" si="30"/>
        <v>0</v>
      </c>
      <c r="AE123" s="237">
        <f t="shared" si="31"/>
        <v>0</v>
      </c>
      <c r="AF123" s="236">
        <f t="shared" si="31"/>
        <v>0</v>
      </c>
      <c r="AG123" s="238"/>
      <c r="AH123" s="236">
        <f t="shared" si="32"/>
        <v>0</v>
      </c>
      <c r="AI123" s="237">
        <f t="shared" si="33"/>
        <v>0</v>
      </c>
      <c r="AJ123" s="236">
        <f t="shared" si="33"/>
        <v>0</v>
      </c>
      <c r="AK123" s="238"/>
      <c r="AL123" s="236">
        <f t="shared" si="34"/>
        <v>0</v>
      </c>
      <c r="AM123" s="237">
        <f t="shared" si="37"/>
        <v>0</v>
      </c>
      <c r="AN123" s="236">
        <f t="shared" si="37"/>
        <v>0</v>
      </c>
      <c r="AO123" s="240"/>
      <c r="AP123" s="236">
        <f t="shared" si="36"/>
        <v>0</v>
      </c>
    </row>
    <row r="124" spans="1:42" s="134" customFormat="1">
      <c r="A124" s="185"/>
      <c r="B124" s="188"/>
      <c r="C124" s="181"/>
      <c r="D124" s="182">
        <f>'[34]TAKE OFF sHEET'!P43</f>
        <v>0</v>
      </c>
      <c r="E124" s="187"/>
      <c r="F124" s="184"/>
      <c r="G124" s="242"/>
      <c r="H124" s="239"/>
      <c r="I124" s="238"/>
      <c r="J124" s="239"/>
      <c r="K124" s="238"/>
      <c r="L124" s="239"/>
      <c r="M124" s="238"/>
      <c r="N124" s="239"/>
      <c r="O124" s="238"/>
      <c r="P124" s="239"/>
      <c r="Q124" s="238"/>
      <c r="R124" s="239"/>
      <c r="S124" s="238"/>
      <c r="T124" s="236">
        <f t="shared" si="27"/>
        <v>0</v>
      </c>
      <c r="U124" s="238"/>
      <c r="V124" s="239"/>
      <c r="W124" s="238"/>
      <c r="X124" s="236">
        <f t="shared" si="28"/>
        <v>0</v>
      </c>
      <c r="Y124" s="238"/>
      <c r="Z124" s="239"/>
      <c r="AA124" s="237">
        <f t="shared" si="29"/>
        <v>0</v>
      </c>
      <c r="AB124" s="236">
        <f t="shared" si="29"/>
        <v>0</v>
      </c>
      <c r="AC124" s="238"/>
      <c r="AD124" s="236">
        <f t="shared" si="30"/>
        <v>0</v>
      </c>
      <c r="AE124" s="237">
        <f t="shared" si="31"/>
        <v>0</v>
      </c>
      <c r="AF124" s="236">
        <f t="shared" si="31"/>
        <v>0</v>
      </c>
      <c r="AG124" s="238"/>
      <c r="AH124" s="236">
        <f t="shared" si="32"/>
        <v>0</v>
      </c>
      <c r="AI124" s="237">
        <f t="shared" si="33"/>
        <v>0</v>
      </c>
      <c r="AJ124" s="236">
        <f t="shared" si="33"/>
        <v>0</v>
      </c>
      <c r="AK124" s="238"/>
      <c r="AL124" s="236">
        <f t="shared" si="34"/>
        <v>0</v>
      </c>
      <c r="AM124" s="237">
        <f t="shared" si="37"/>
        <v>0</v>
      </c>
      <c r="AN124" s="236">
        <f t="shared" si="37"/>
        <v>0</v>
      </c>
      <c r="AO124" s="240"/>
      <c r="AP124" s="236">
        <f t="shared" si="36"/>
        <v>0</v>
      </c>
    </row>
    <row r="125" spans="1:42" s="134" customFormat="1">
      <c r="A125" s="179"/>
      <c r="B125" s="190" t="s">
        <v>464</v>
      </c>
      <c r="C125" s="181"/>
      <c r="D125" s="182">
        <f>'[34]TAKE OFF sHEET'!P44</f>
        <v>0</v>
      </c>
      <c r="E125" s="187"/>
      <c r="F125" s="184"/>
      <c r="G125" s="242"/>
      <c r="H125" s="239"/>
      <c r="I125" s="238"/>
      <c r="J125" s="239"/>
      <c r="K125" s="238"/>
      <c r="L125" s="239"/>
      <c r="M125" s="238"/>
      <c r="N125" s="239"/>
      <c r="O125" s="238"/>
      <c r="P125" s="239"/>
      <c r="Q125" s="238"/>
      <c r="R125" s="239"/>
      <c r="S125" s="238"/>
      <c r="T125" s="236">
        <f t="shared" si="27"/>
        <v>0</v>
      </c>
      <c r="U125" s="238"/>
      <c r="V125" s="239"/>
      <c r="W125" s="238"/>
      <c r="X125" s="236">
        <f t="shared" si="28"/>
        <v>0</v>
      </c>
      <c r="Y125" s="238"/>
      <c r="Z125" s="239"/>
      <c r="AA125" s="237">
        <f t="shared" si="29"/>
        <v>0</v>
      </c>
      <c r="AB125" s="236">
        <f t="shared" si="29"/>
        <v>0</v>
      </c>
      <c r="AC125" s="238"/>
      <c r="AD125" s="236">
        <f t="shared" si="30"/>
        <v>0</v>
      </c>
      <c r="AE125" s="237">
        <f t="shared" si="31"/>
        <v>0</v>
      </c>
      <c r="AF125" s="236">
        <f t="shared" si="31"/>
        <v>0</v>
      </c>
      <c r="AG125" s="238"/>
      <c r="AH125" s="236">
        <f t="shared" si="32"/>
        <v>0</v>
      </c>
      <c r="AI125" s="237">
        <f t="shared" si="33"/>
        <v>0</v>
      </c>
      <c r="AJ125" s="236">
        <f t="shared" si="33"/>
        <v>0</v>
      </c>
      <c r="AK125" s="238"/>
      <c r="AL125" s="236">
        <f t="shared" si="34"/>
        <v>0</v>
      </c>
      <c r="AM125" s="237">
        <f t="shared" si="37"/>
        <v>0</v>
      </c>
      <c r="AN125" s="236">
        <f t="shared" si="37"/>
        <v>0</v>
      </c>
      <c r="AO125" s="240"/>
      <c r="AP125" s="236">
        <f t="shared" si="36"/>
        <v>0</v>
      </c>
    </row>
    <row r="126" spans="1:42" s="134" customFormat="1" ht="13">
      <c r="A126" s="185"/>
      <c r="B126" s="152" t="s">
        <v>465</v>
      </c>
      <c r="C126" s="181"/>
      <c r="D126" s="182">
        <f>'[34]TAKE OFF sHEET'!P45</f>
        <v>0</v>
      </c>
      <c r="E126" s="187"/>
      <c r="F126" s="184"/>
      <c r="G126" s="242"/>
      <c r="H126" s="239"/>
      <c r="I126" s="238"/>
      <c r="J126" s="239"/>
      <c r="K126" s="238"/>
      <c r="L126" s="239"/>
      <c r="M126" s="238"/>
      <c r="N126" s="239"/>
      <c r="O126" s="238"/>
      <c r="P126" s="239"/>
      <c r="Q126" s="238"/>
      <c r="R126" s="239"/>
      <c r="S126" s="238"/>
      <c r="T126" s="236">
        <f t="shared" si="27"/>
        <v>0</v>
      </c>
      <c r="U126" s="238"/>
      <c r="V126" s="239"/>
      <c r="W126" s="238"/>
      <c r="X126" s="236">
        <f t="shared" si="28"/>
        <v>0</v>
      </c>
      <c r="Y126" s="238"/>
      <c r="Z126" s="239"/>
      <c r="AA126" s="237">
        <f t="shared" si="29"/>
        <v>0</v>
      </c>
      <c r="AB126" s="236">
        <f t="shared" si="29"/>
        <v>0</v>
      </c>
      <c r="AC126" s="238"/>
      <c r="AD126" s="236">
        <f t="shared" si="30"/>
        <v>0</v>
      </c>
      <c r="AE126" s="237">
        <f t="shared" si="31"/>
        <v>0</v>
      </c>
      <c r="AF126" s="236">
        <f t="shared" si="31"/>
        <v>0</v>
      </c>
      <c r="AG126" s="238"/>
      <c r="AH126" s="236">
        <f t="shared" si="32"/>
        <v>0</v>
      </c>
      <c r="AI126" s="237">
        <f t="shared" si="33"/>
        <v>0</v>
      </c>
      <c r="AJ126" s="236">
        <f t="shared" si="33"/>
        <v>0</v>
      </c>
      <c r="AK126" s="238"/>
      <c r="AL126" s="236">
        <f t="shared" si="34"/>
        <v>0</v>
      </c>
      <c r="AM126" s="237">
        <f t="shared" si="37"/>
        <v>0</v>
      </c>
      <c r="AN126" s="236">
        <f t="shared" si="37"/>
        <v>0</v>
      </c>
      <c r="AO126" s="240"/>
      <c r="AP126" s="236">
        <f t="shared" si="36"/>
        <v>0</v>
      </c>
    </row>
    <row r="127" spans="1:42" s="134" customFormat="1" ht="13">
      <c r="A127" s="185"/>
      <c r="B127" s="152"/>
      <c r="C127" s="181"/>
      <c r="D127" s="182">
        <f>'[34]TAKE OFF sHEET'!P46</f>
        <v>0</v>
      </c>
      <c r="E127" s="187"/>
      <c r="F127" s="184"/>
      <c r="G127" s="242"/>
      <c r="H127" s="239"/>
      <c r="I127" s="238"/>
      <c r="J127" s="239"/>
      <c r="K127" s="238"/>
      <c r="L127" s="239"/>
      <c r="M127" s="238"/>
      <c r="N127" s="239"/>
      <c r="O127" s="238"/>
      <c r="P127" s="239"/>
      <c r="Q127" s="238"/>
      <c r="R127" s="239"/>
      <c r="S127" s="238"/>
      <c r="T127" s="236"/>
      <c r="U127" s="238"/>
      <c r="V127" s="239"/>
      <c r="W127" s="238"/>
      <c r="X127" s="236"/>
      <c r="Y127" s="238"/>
      <c r="Z127" s="239"/>
      <c r="AA127" s="237"/>
      <c r="AB127" s="236"/>
      <c r="AC127" s="238"/>
      <c r="AD127" s="236"/>
      <c r="AE127" s="237"/>
      <c r="AF127" s="236"/>
      <c r="AG127" s="238"/>
      <c r="AH127" s="236"/>
      <c r="AI127" s="237"/>
      <c r="AJ127" s="236"/>
      <c r="AK127" s="238"/>
      <c r="AL127" s="236"/>
      <c r="AM127" s="237"/>
      <c r="AN127" s="236"/>
      <c r="AO127" s="240"/>
      <c r="AP127" s="236"/>
    </row>
    <row r="128" spans="1:42" s="134" customFormat="1">
      <c r="A128" s="185" t="s">
        <v>345</v>
      </c>
      <c r="B128" s="146" t="s">
        <v>466</v>
      </c>
      <c r="C128" s="186" t="s">
        <v>10</v>
      </c>
      <c r="D128" s="182">
        <f>'[34]TAKE OFF sHEET'!P47</f>
        <v>5</v>
      </c>
      <c r="E128" s="187">
        <v>4250</v>
      </c>
      <c r="F128" s="170">
        <f>D128*E128</f>
        <v>21250</v>
      </c>
      <c r="G128" s="242"/>
      <c r="H128" s="239"/>
      <c r="I128" s="238"/>
      <c r="J128" s="239"/>
      <c r="K128" s="238"/>
      <c r="L128" s="239"/>
      <c r="M128" s="238"/>
      <c r="N128" s="239"/>
      <c r="O128" s="238"/>
      <c r="P128" s="239"/>
      <c r="Q128" s="238"/>
      <c r="R128" s="239"/>
      <c r="S128" s="238"/>
      <c r="T128" s="236">
        <f t="shared" si="27"/>
        <v>0</v>
      </c>
      <c r="U128" s="238"/>
      <c r="V128" s="239"/>
      <c r="W128" s="238"/>
      <c r="X128" s="236">
        <f t="shared" si="28"/>
        <v>0</v>
      </c>
      <c r="Y128" s="238"/>
      <c r="Z128" s="239"/>
      <c r="AA128" s="237">
        <f t="shared" si="29"/>
        <v>0</v>
      </c>
      <c r="AB128" s="236">
        <f t="shared" si="29"/>
        <v>0</v>
      </c>
      <c r="AC128" s="238"/>
      <c r="AD128" s="236">
        <f t="shared" si="30"/>
        <v>0</v>
      </c>
      <c r="AE128" s="237">
        <f t="shared" si="31"/>
        <v>0</v>
      </c>
      <c r="AF128" s="236">
        <f t="shared" si="31"/>
        <v>0</v>
      </c>
      <c r="AG128" s="238"/>
      <c r="AH128" s="236">
        <f t="shared" si="32"/>
        <v>0</v>
      </c>
      <c r="AI128" s="237">
        <f t="shared" si="33"/>
        <v>0</v>
      </c>
      <c r="AJ128" s="236">
        <f t="shared" si="33"/>
        <v>0</v>
      </c>
      <c r="AK128" s="238"/>
      <c r="AL128" s="236">
        <f t="shared" si="34"/>
        <v>0</v>
      </c>
      <c r="AM128" s="237">
        <f t="shared" si="37"/>
        <v>0</v>
      </c>
      <c r="AN128" s="236">
        <f t="shared" si="37"/>
        <v>0</v>
      </c>
      <c r="AO128" s="240"/>
      <c r="AP128" s="236">
        <f t="shared" si="36"/>
        <v>0</v>
      </c>
    </row>
    <row r="129" spans="1:42" s="134" customFormat="1">
      <c r="A129" s="185"/>
      <c r="B129" s="146"/>
      <c r="C129" s="181"/>
      <c r="D129" s="182">
        <f>'[34]TAKE OFF sHEET'!P48</f>
        <v>0</v>
      </c>
      <c r="E129" s="183"/>
      <c r="F129" s="166"/>
      <c r="G129" s="242"/>
      <c r="H129" s="239"/>
      <c r="I129" s="238"/>
      <c r="J129" s="239"/>
      <c r="K129" s="238"/>
      <c r="L129" s="239"/>
      <c r="M129" s="238"/>
      <c r="N129" s="239"/>
      <c r="O129" s="238"/>
      <c r="P129" s="239"/>
      <c r="Q129" s="238"/>
      <c r="R129" s="239"/>
      <c r="S129" s="238"/>
      <c r="T129" s="236">
        <f t="shared" si="27"/>
        <v>0</v>
      </c>
      <c r="U129" s="238"/>
      <c r="V129" s="239"/>
      <c r="W129" s="238"/>
      <c r="X129" s="236">
        <f t="shared" si="28"/>
        <v>0</v>
      </c>
      <c r="Y129" s="238"/>
      <c r="Z129" s="239"/>
      <c r="AA129" s="237">
        <f t="shared" si="29"/>
        <v>0</v>
      </c>
      <c r="AB129" s="236">
        <f t="shared" si="29"/>
        <v>0</v>
      </c>
      <c r="AC129" s="238"/>
      <c r="AD129" s="236">
        <f t="shared" si="30"/>
        <v>0</v>
      </c>
      <c r="AE129" s="237">
        <f t="shared" si="31"/>
        <v>0</v>
      </c>
      <c r="AF129" s="236">
        <f t="shared" si="31"/>
        <v>0</v>
      </c>
      <c r="AG129" s="238"/>
      <c r="AH129" s="236">
        <f t="shared" si="32"/>
        <v>0</v>
      </c>
      <c r="AI129" s="237">
        <f t="shared" si="33"/>
        <v>0</v>
      </c>
      <c r="AJ129" s="236">
        <f t="shared" si="33"/>
        <v>0</v>
      </c>
      <c r="AK129" s="238"/>
      <c r="AL129" s="236">
        <f t="shared" si="34"/>
        <v>0</v>
      </c>
      <c r="AM129" s="237">
        <f t="shared" si="37"/>
        <v>0</v>
      </c>
      <c r="AN129" s="236">
        <f t="shared" si="37"/>
        <v>0</v>
      </c>
      <c r="AO129" s="240"/>
      <c r="AP129" s="236">
        <f t="shared" si="36"/>
        <v>0</v>
      </c>
    </row>
    <row r="130" spans="1:42" s="134" customFormat="1">
      <c r="A130" s="179"/>
      <c r="B130" s="190" t="s">
        <v>467</v>
      </c>
      <c r="C130" s="181"/>
      <c r="D130" s="182">
        <f>'[34]TAKE OFF sHEET'!P49</f>
        <v>0</v>
      </c>
      <c r="E130" s="187"/>
      <c r="F130" s="184"/>
      <c r="G130" s="242"/>
      <c r="H130" s="239"/>
      <c r="I130" s="238"/>
      <c r="J130" s="239"/>
      <c r="K130" s="238"/>
      <c r="L130" s="239"/>
      <c r="M130" s="238"/>
      <c r="N130" s="239"/>
      <c r="O130" s="238"/>
      <c r="P130" s="239"/>
      <c r="Q130" s="238"/>
      <c r="R130" s="239"/>
      <c r="S130" s="238"/>
      <c r="T130" s="236">
        <f t="shared" si="27"/>
        <v>0</v>
      </c>
      <c r="U130" s="238"/>
      <c r="V130" s="239"/>
      <c r="W130" s="238"/>
      <c r="X130" s="236">
        <f t="shared" si="28"/>
        <v>0</v>
      </c>
      <c r="Y130" s="238"/>
      <c r="Z130" s="239"/>
      <c r="AA130" s="237">
        <f t="shared" si="29"/>
        <v>0</v>
      </c>
      <c r="AB130" s="236">
        <f t="shared" si="29"/>
        <v>0</v>
      </c>
      <c r="AC130" s="238"/>
      <c r="AD130" s="236">
        <f t="shared" si="30"/>
        <v>0</v>
      </c>
      <c r="AE130" s="237">
        <f t="shared" si="31"/>
        <v>0</v>
      </c>
      <c r="AF130" s="236">
        <f t="shared" si="31"/>
        <v>0</v>
      </c>
      <c r="AG130" s="238"/>
      <c r="AH130" s="236">
        <f t="shared" si="32"/>
        <v>0</v>
      </c>
      <c r="AI130" s="237">
        <f t="shared" si="33"/>
        <v>0</v>
      </c>
      <c r="AJ130" s="236">
        <f t="shared" si="33"/>
        <v>0</v>
      </c>
      <c r="AK130" s="238"/>
      <c r="AL130" s="236">
        <f t="shared" si="34"/>
        <v>0</v>
      </c>
      <c r="AM130" s="237">
        <f t="shared" si="37"/>
        <v>0</v>
      </c>
      <c r="AN130" s="236">
        <f t="shared" si="37"/>
        <v>0</v>
      </c>
      <c r="AO130" s="240"/>
      <c r="AP130" s="236">
        <f t="shared" si="36"/>
        <v>0</v>
      </c>
    </row>
    <row r="131" spans="1:42" s="134" customFormat="1">
      <c r="A131" s="185"/>
      <c r="B131" s="188"/>
      <c r="C131" s="181"/>
      <c r="D131" s="182">
        <f>'[34]TAKE OFF sHEET'!P50</f>
        <v>0</v>
      </c>
      <c r="E131" s="187"/>
      <c r="F131" s="184"/>
      <c r="G131" s="242"/>
      <c r="H131" s="239"/>
      <c r="I131" s="238"/>
      <c r="J131" s="239"/>
      <c r="K131" s="238"/>
      <c r="L131" s="239"/>
      <c r="M131" s="238"/>
      <c r="N131" s="239"/>
      <c r="O131" s="238"/>
      <c r="P131" s="239"/>
      <c r="Q131" s="238"/>
      <c r="R131" s="239"/>
      <c r="S131" s="238"/>
      <c r="T131" s="236">
        <f t="shared" si="27"/>
        <v>0</v>
      </c>
      <c r="U131" s="238"/>
      <c r="V131" s="239"/>
      <c r="W131" s="238"/>
      <c r="X131" s="236">
        <f t="shared" si="28"/>
        <v>0</v>
      </c>
      <c r="Y131" s="238"/>
      <c r="Z131" s="239"/>
      <c r="AA131" s="237">
        <f t="shared" si="29"/>
        <v>0</v>
      </c>
      <c r="AB131" s="236">
        <f t="shared" si="29"/>
        <v>0</v>
      </c>
      <c r="AC131" s="238"/>
      <c r="AD131" s="236">
        <f t="shared" si="30"/>
        <v>0</v>
      </c>
      <c r="AE131" s="237">
        <f t="shared" si="31"/>
        <v>0</v>
      </c>
      <c r="AF131" s="236">
        <f t="shared" si="31"/>
        <v>0</v>
      </c>
      <c r="AG131" s="238"/>
      <c r="AH131" s="236">
        <f t="shared" si="32"/>
        <v>0</v>
      </c>
      <c r="AI131" s="237">
        <f t="shared" si="33"/>
        <v>0</v>
      </c>
      <c r="AJ131" s="236">
        <f t="shared" si="33"/>
        <v>0</v>
      </c>
      <c r="AK131" s="238"/>
      <c r="AL131" s="236">
        <f t="shared" si="34"/>
        <v>0</v>
      </c>
      <c r="AM131" s="237">
        <f t="shared" si="37"/>
        <v>0</v>
      </c>
      <c r="AN131" s="236">
        <f t="shared" si="37"/>
        <v>0</v>
      </c>
      <c r="AO131" s="240"/>
      <c r="AP131" s="236">
        <f t="shared" si="36"/>
        <v>0</v>
      </c>
    </row>
    <row r="132" spans="1:42" s="134" customFormat="1" ht="25">
      <c r="A132" s="185" t="s">
        <v>348</v>
      </c>
      <c r="B132" s="189" t="s">
        <v>468</v>
      </c>
      <c r="C132" s="186" t="s">
        <v>10</v>
      </c>
      <c r="D132" s="182">
        <f>'[34]TAKE OFF sHEET'!P51</f>
        <v>5</v>
      </c>
      <c r="E132" s="187">
        <v>5085</v>
      </c>
      <c r="F132" s="170">
        <f>D132*E132</f>
        <v>25425</v>
      </c>
      <c r="G132" s="242"/>
      <c r="H132" s="239"/>
      <c r="I132" s="238"/>
      <c r="J132" s="239"/>
      <c r="K132" s="238"/>
      <c r="L132" s="239"/>
      <c r="M132" s="238"/>
      <c r="N132" s="239"/>
      <c r="O132" s="238"/>
      <c r="P132" s="239"/>
      <c r="Q132" s="238"/>
      <c r="R132" s="239"/>
      <c r="S132" s="238"/>
      <c r="T132" s="236">
        <f t="shared" si="27"/>
        <v>0</v>
      </c>
      <c r="U132" s="238"/>
      <c r="V132" s="239"/>
      <c r="W132" s="238"/>
      <c r="X132" s="236">
        <f t="shared" si="28"/>
        <v>0</v>
      </c>
      <c r="Y132" s="238"/>
      <c r="Z132" s="239"/>
      <c r="AA132" s="237">
        <f t="shared" si="29"/>
        <v>0</v>
      </c>
      <c r="AB132" s="236">
        <f t="shared" si="29"/>
        <v>0</v>
      </c>
      <c r="AC132" s="238"/>
      <c r="AD132" s="236">
        <f t="shared" si="30"/>
        <v>0</v>
      </c>
      <c r="AE132" s="237">
        <f t="shared" si="31"/>
        <v>0</v>
      </c>
      <c r="AF132" s="236">
        <f t="shared" si="31"/>
        <v>0</v>
      </c>
      <c r="AG132" s="238"/>
      <c r="AH132" s="236">
        <f t="shared" si="32"/>
        <v>0</v>
      </c>
      <c r="AI132" s="237">
        <f t="shared" si="33"/>
        <v>0</v>
      </c>
      <c r="AJ132" s="236">
        <f t="shared" si="33"/>
        <v>0</v>
      </c>
      <c r="AK132" s="238"/>
      <c r="AL132" s="236">
        <f t="shared" si="34"/>
        <v>0</v>
      </c>
      <c r="AM132" s="237">
        <f t="shared" si="37"/>
        <v>0</v>
      </c>
      <c r="AN132" s="236">
        <f t="shared" si="37"/>
        <v>0</v>
      </c>
      <c r="AO132" s="240"/>
      <c r="AP132" s="236">
        <f t="shared" si="36"/>
        <v>0</v>
      </c>
    </row>
    <row r="133" spans="1:42" s="243" customFormat="1">
      <c r="A133" s="185"/>
      <c r="B133" s="146"/>
      <c r="C133" s="181"/>
      <c r="D133" s="182">
        <f>'[34]TAKE OFF sHEET'!P52</f>
        <v>0</v>
      </c>
      <c r="E133" s="187"/>
      <c r="F133" s="184"/>
      <c r="G133" s="242"/>
      <c r="H133" s="239"/>
      <c r="I133" s="238"/>
      <c r="J133" s="239"/>
      <c r="K133" s="238"/>
      <c r="L133" s="239"/>
      <c r="M133" s="238"/>
      <c r="N133" s="239"/>
      <c r="O133" s="238"/>
      <c r="P133" s="239"/>
      <c r="Q133" s="238"/>
      <c r="R133" s="239"/>
      <c r="S133" s="238"/>
      <c r="T133" s="236">
        <f t="shared" si="27"/>
        <v>0</v>
      </c>
      <c r="U133" s="238"/>
      <c r="V133" s="239"/>
      <c r="W133" s="238"/>
      <c r="X133" s="236">
        <f t="shared" si="28"/>
        <v>0</v>
      </c>
      <c r="Y133" s="238"/>
      <c r="Z133" s="239"/>
      <c r="AA133" s="237">
        <f t="shared" si="29"/>
        <v>0</v>
      </c>
      <c r="AB133" s="236">
        <f t="shared" si="29"/>
        <v>0</v>
      </c>
      <c r="AC133" s="238"/>
      <c r="AD133" s="236">
        <f t="shared" si="30"/>
        <v>0</v>
      </c>
      <c r="AE133" s="237">
        <f t="shared" si="31"/>
        <v>0</v>
      </c>
      <c r="AF133" s="236">
        <f t="shared" si="31"/>
        <v>0</v>
      </c>
      <c r="AG133" s="238"/>
      <c r="AH133" s="236">
        <f t="shared" si="32"/>
        <v>0</v>
      </c>
      <c r="AI133" s="237">
        <f t="shared" si="33"/>
        <v>0</v>
      </c>
      <c r="AJ133" s="236">
        <f t="shared" si="33"/>
        <v>0</v>
      </c>
      <c r="AK133" s="238"/>
      <c r="AL133" s="236">
        <f t="shared" si="34"/>
        <v>0</v>
      </c>
      <c r="AM133" s="237">
        <f t="shared" si="37"/>
        <v>0</v>
      </c>
      <c r="AN133" s="236">
        <f t="shared" si="37"/>
        <v>0</v>
      </c>
      <c r="AO133" s="240"/>
      <c r="AP133" s="236">
        <f t="shared" si="36"/>
        <v>0</v>
      </c>
    </row>
    <row r="134" spans="1:42" s="134" customFormat="1" ht="25">
      <c r="A134" s="185" t="s">
        <v>350</v>
      </c>
      <c r="B134" s="189" t="s">
        <v>469</v>
      </c>
      <c r="C134" s="186" t="s">
        <v>10</v>
      </c>
      <c r="D134" s="182">
        <f>'[34]TAKE OFF sHEET'!P53</f>
        <v>5</v>
      </c>
      <c r="E134" s="187">
        <v>30520</v>
      </c>
      <c r="F134" s="170">
        <f>D134*E134</f>
        <v>152600</v>
      </c>
      <c r="G134" s="242"/>
      <c r="H134" s="239"/>
      <c r="I134" s="238"/>
      <c r="J134" s="239"/>
      <c r="K134" s="238"/>
      <c r="L134" s="239"/>
      <c r="M134" s="238"/>
      <c r="N134" s="239"/>
      <c r="O134" s="238"/>
      <c r="P134" s="239"/>
      <c r="Q134" s="238"/>
      <c r="R134" s="239"/>
      <c r="S134" s="238"/>
      <c r="T134" s="236">
        <f t="shared" si="27"/>
        <v>0</v>
      </c>
      <c r="U134" s="238"/>
      <c r="V134" s="239"/>
      <c r="W134" s="238"/>
      <c r="X134" s="236">
        <f t="shared" si="28"/>
        <v>0</v>
      </c>
      <c r="Y134" s="238"/>
      <c r="Z134" s="239"/>
      <c r="AA134" s="237">
        <f t="shared" si="29"/>
        <v>0</v>
      </c>
      <c r="AB134" s="236">
        <f t="shared" si="29"/>
        <v>0</v>
      </c>
      <c r="AC134" s="238"/>
      <c r="AD134" s="236">
        <f t="shared" si="30"/>
        <v>0</v>
      </c>
      <c r="AE134" s="237">
        <f t="shared" si="31"/>
        <v>0</v>
      </c>
      <c r="AF134" s="236">
        <f t="shared" si="31"/>
        <v>0</v>
      </c>
      <c r="AG134" s="238"/>
      <c r="AH134" s="236">
        <f t="shared" si="32"/>
        <v>0</v>
      </c>
      <c r="AI134" s="237">
        <f t="shared" si="33"/>
        <v>0</v>
      </c>
      <c r="AJ134" s="236">
        <f t="shared" si="33"/>
        <v>0</v>
      </c>
      <c r="AK134" s="238"/>
      <c r="AL134" s="236">
        <f t="shared" si="34"/>
        <v>0</v>
      </c>
      <c r="AM134" s="237">
        <f t="shared" si="37"/>
        <v>0</v>
      </c>
      <c r="AN134" s="236">
        <f t="shared" si="37"/>
        <v>0</v>
      </c>
      <c r="AO134" s="240"/>
      <c r="AP134" s="236">
        <f t="shared" si="36"/>
        <v>0</v>
      </c>
    </row>
    <row r="135" spans="1:42" s="245" customFormat="1">
      <c r="A135" s="194"/>
      <c r="B135" s="195"/>
      <c r="C135" s="196"/>
      <c r="D135" s="182">
        <f>'[34]TAKE OFF sHEET'!P54</f>
        <v>0</v>
      </c>
      <c r="E135" s="187"/>
      <c r="F135" s="170"/>
      <c r="G135" s="244"/>
      <c r="H135" s="239"/>
      <c r="I135" s="182"/>
      <c r="J135" s="239"/>
      <c r="K135" s="182"/>
      <c r="L135" s="239"/>
      <c r="M135" s="182"/>
      <c r="N135" s="239"/>
      <c r="O135" s="182"/>
      <c r="P135" s="239"/>
      <c r="Q135" s="182"/>
      <c r="R135" s="239"/>
      <c r="S135" s="182"/>
      <c r="T135" s="239"/>
      <c r="U135" s="182"/>
      <c r="V135" s="239"/>
      <c r="W135" s="182"/>
      <c r="X135" s="239"/>
      <c r="Y135" s="182"/>
      <c r="Z135" s="239"/>
      <c r="AA135" s="182"/>
      <c r="AB135" s="239"/>
      <c r="AC135" s="182"/>
      <c r="AD135" s="239"/>
      <c r="AE135" s="182"/>
      <c r="AF135" s="239"/>
      <c r="AG135" s="182"/>
      <c r="AH135" s="239"/>
      <c r="AI135" s="182"/>
      <c r="AJ135" s="239"/>
      <c r="AK135" s="182"/>
      <c r="AL135" s="239"/>
      <c r="AM135" s="182"/>
      <c r="AN135" s="239"/>
      <c r="AO135" s="182"/>
      <c r="AP135" s="239"/>
    </row>
    <row r="136" spans="1:42" s="134" customFormat="1" ht="25">
      <c r="A136" s="185" t="s">
        <v>352</v>
      </c>
      <c r="B136" s="189" t="s">
        <v>470</v>
      </c>
      <c r="C136" s="186" t="s">
        <v>10</v>
      </c>
      <c r="D136" s="182">
        <f>'[34]TAKE OFF sHEET'!P55</f>
        <v>4</v>
      </c>
      <c r="E136" s="187">
        <v>16250</v>
      </c>
      <c r="F136" s="170">
        <f>D136*E136</f>
        <v>65000</v>
      </c>
      <c r="G136" s="242"/>
      <c r="H136" s="239"/>
      <c r="I136" s="238"/>
      <c r="J136" s="239"/>
      <c r="K136" s="238"/>
      <c r="L136" s="239"/>
      <c r="M136" s="238"/>
      <c r="N136" s="239"/>
      <c r="O136" s="238"/>
      <c r="P136" s="239"/>
      <c r="Q136" s="238"/>
      <c r="R136" s="239"/>
      <c r="S136" s="238"/>
      <c r="T136" s="236">
        <f t="shared" ref="T136:T148" si="38">R136+P136</f>
        <v>0</v>
      </c>
      <c r="U136" s="238"/>
      <c r="V136" s="239"/>
      <c r="W136" s="238"/>
      <c r="X136" s="236">
        <f t="shared" ref="X136:X148" si="39">V136+T136</f>
        <v>0</v>
      </c>
      <c r="Y136" s="238"/>
      <c r="Z136" s="239"/>
      <c r="AA136" s="237">
        <f t="shared" ref="AA136:AB148" si="40">Y136+W136</f>
        <v>0</v>
      </c>
      <c r="AB136" s="236">
        <f t="shared" si="40"/>
        <v>0</v>
      </c>
      <c r="AC136" s="238"/>
      <c r="AD136" s="236">
        <f t="shared" ref="AD136:AD148" si="41">AC136*E136</f>
        <v>0</v>
      </c>
      <c r="AE136" s="237">
        <f t="shared" ref="AE136:AF148" si="42">AC136+AA136</f>
        <v>0</v>
      </c>
      <c r="AF136" s="236">
        <f t="shared" si="42"/>
        <v>0</v>
      </c>
      <c r="AG136" s="238"/>
      <c r="AH136" s="236">
        <f t="shared" ref="AH136:AH148" si="43">AG136*E136</f>
        <v>0</v>
      </c>
      <c r="AI136" s="237">
        <f t="shared" ref="AI136:AJ148" si="44">AG136+AE136</f>
        <v>0</v>
      </c>
      <c r="AJ136" s="236">
        <f t="shared" si="44"/>
        <v>0</v>
      </c>
      <c r="AK136" s="238"/>
      <c r="AL136" s="236">
        <f t="shared" ref="AL136:AL148" si="45">AK136*E136</f>
        <v>0</v>
      </c>
      <c r="AM136" s="237">
        <f t="shared" ref="AM136:AN148" si="46">AK136+AI136</f>
        <v>0</v>
      </c>
      <c r="AN136" s="236">
        <f t="shared" si="46"/>
        <v>0</v>
      </c>
      <c r="AO136" s="240"/>
      <c r="AP136" s="236">
        <f t="shared" ref="AP136:AP148" si="47">AO136*E136</f>
        <v>0</v>
      </c>
    </row>
    <row r="137" spans="1:42" s="134" customFormat="1">
      <c r="A137" s="185"/>
      <c r="B137" s="188"/>
      <c r="C137" s="181"/>
      <c r="D137" s="182">
        <f>'[34]TAKE OFF sHEET'!P56</f>
        <v>0</v>
      </c>
      <c r="E137" s="187"/>
      <c r="F137" s="184"/>
      <c r="G137" s="242"/>
      <c r="H137" s="239"/>
      <c r="I137" s="238"/>
      <c r="J137" s="239"/>
      <c r="K137" s="238"/>
      <c r="L137" s="239"/>
      <c r="M137" s="238"/>
      <c r="N137" s="239"/>
      <c r="O137" s="238"/>
      <c r="P137" s="239"/>
      <c r="Q137" s="238"/>
      <c r="R137" s="239"/>
      <c r="S137" s="238"/>
      <c r="T137" s="236">
        <f t="shared" si="38"/>
        <v>0</v>
      </c>
      <c r="U137" s="238"/>
      <c r="V137" s="239"/>
      <c r="W137" s="238"/>
      <c r="X137" s="236">
        <f t="shared" si="39"/>
        <v>0</v>
      </c>
      <c r="Y137" s="238"/>
      <c r="Z137" s="239"/>
      <c r="AA137" s="237">
        <f t="shared" si="40"/>
        <v>0</v>
      </c>
      <c r="AB137" s="236">
        <f t="shared" si="40"/>
        <v>0</v>
      </c>
      <c r="AC137" s="238"/>
      <c r="AD137" s="236">
        <f t="shared" si="41"/>
        <v>0</v>
      </c>
      <c r="AE137" s="237">
        <f t="shared" si="42"/>
        <v>0</v>
      </c>
      <c r="AF137" s="236">
        <f t="shared" si="42"/>
        <v>0</v>
      </c>
      <c r="AG137" s="238"/>
      <c r="AH137" s="236">
        <f t="shared" si="43"/>
        <v>0</v>
      </c>
      <c r="AI137" s="237">
        <f t="shared" si="44"/>
        <v>0</v>
      </c>
      <c r="AJ137" s="236">
        <f t="shared" si="44"/>
        <v>0</v>
      </c>
      <c r="AK137" s="238"/>
      <c r="AL137" s="236">
        <f t="shared" si="45"/>
        <v>0</v>
      </c>
      <c r="AM137" s="237">
        <f t="shared" si="46"/>
        <v>0</v>
      </c>
      <c r="AN137" s="236">
        <f t="shared" si="46"/>
        <v>0</v>
      </c>
      <c r="AO137" s="240"/>
      <c r="AP137" s="236">
        <f t="shared" si="47"/>
        <v>0</v>
      </c>
    </row>
    <row r="138" spans="1:42" s="134" customFormat="1" ht="25">
      <c r="A138" s="185" t="s">
        <v>354</v>
      </c>
      <c r="B138" s="189" t="s">
        <v>355</v>
      </c>
      <c r="C138" s="186" t="s">
        <v>10</v>
      </c>
      <c r="D138" s="182">
        <f>'[34]TAKE OFF sHEET'!P57</f>
        <v>5</v>
      </c>
      <c r="E138" s="187">
        <v>3450</v>
      </c>
      <c r="F138" s="170">
        <f>D138*E138</f>
        <v>17250</v>
      </c>
      <c r="G138" s="242"/>
      <c r="H138" s="239"/>
      <c r="I138" s="238"/>
      <c r="J138" s="239"/>
      <c r="K138" s="238"/>
      <c r="L138" s="239"/>
      <c r="M138" s="238"/>
      <c r="N138" s="239"/>
      <c r="O138" s="238"/>
      <c r="P138" s="239"/>
      <c r="Q138" s="238"/>
      <c r="R138" s="239"/>
      <c r="S138" s="238"/>
      <c r="T138" s="236">
        <f t="shared" si="38"/>
        <v>0</v>
      </c>
      <c r="U138" s="238"/>
      <c r="V138" s="239"/>
      <c r="W138" s="238"/>
      <c r="X138" s="236">
        <f t="shared" si="39"/>
        <v>0</v>
      </c>
      <c r="Y138" s="238"/>
      <c r="Z138" s="239"/>
      <c r="AA138" s="237">
        <f t="shared" si="40"/>
        <v>0</v>
      </c>
      <c r="AB138" s="236">
        <f t="shared" si="40"/>
        <v>0</v>
      </c>
      <c r="AC138" s="238"/>
      <c r="AD138" s="236">
        <f t="shared" si="41"/>
        <v>0</v>
      </c>
      <c r="AE138" s="237">
        <f t="shared" si="42"/>
        <v>0</v>
      </c>
      <c r="AF138" s="236">
        <f t="shared" si="42"/>
        <v>0</v>
      </c>
      <c r="AG138" s="238"/>
      <c r="AH138" s="236">
        <f t="shared" si="43"/>
        <v>0</v>
      </c>
      <c r="AI138" s="237">
        <f t="shared" si="44"/>
        <v>0</v>
      </c>
      <c r="AJ138" s="236">
        <f t="shared" si="44"/>
        <v>0</v>
      </c>
      <c r="AK138" s="238"/>
      <c r="AL138" s="236">
        <f t="shared" si="45"/>
        <v>0</v>
      </c>
      <c r="AM138" s="237">
        <f t="shared" si="46"/>
        <v>0</v>
      </c>
      <c r="AN138" s="236">
        <f t="shared" si="46"/>
        <v>0</v>
      </c>
      <c r="AO138" s="240"/>
      <c r="AP138" s="236">
        <f t="shared" si="47"/>
        <v>0</v>
      </c>
    </row>
    <row r="139" spans="1:42" s="134" customFormat="1">
      <c r="A139" s="185"/>
      <c r="B139" s="188"/>
      <c r="C139" s="181"/>
      <c r="D139" s="182">
        <f>'[34]TAKE OFF sHEET'!P58</f>
        <v>0</v>
      </c>
      <c r="E139" s="183"/>
      <c r="F139" s="184"/>
      <c r="G139" s="242"/>
      <c r="H139" s="239"/>
      <c r="I139" s="238"/>
      <c r="J139" s="239"/>
      <c r="K139" s="238"/>
      <c r="L139" s="239"/>
      <c r="M139" s="238"/>
      <c r="N139" s="239"/>
      <c r="O139" s="238"/>
      <c r="P139" s="239"/>
      <c r="Q139" s="238"/>
      <c r="R139" s="239"/>
      <c r="S139" s="238"/>
      <c r="T139" s="236">
        <f t="shared" si="38"/>
        <v>0</v>
      </c>
      <c r="U139" s="238"/>
      <c r="V139" s="239"/>
      <c r="W139" s="238"/>
      <c r="X139" s="236">
        <f t="shared" si="39"/>
        <v>0</v>
      </c>
      <c r="Y139" s="238"/>
      <c r="Z139" s="239"/>
      <c r="AA139" s="237">
        <f t="shared" si="40"/>
        <v>0</v>
      </c>
      <c r="AB139" s="236">
        <f t="shared" si="40"/>
        <v>0</v>
      </c>
      <c r="AC139" s="238"/>
      <c r="AD139" s="236">
        <f t="shared" si="41"/>
        <v>0</v>
      </c>
      <c r="AE139" s="237">
        <f t="shared" si="42"/>
        <v>0</v>
      </c>
      <c r="AF139" s="236">
        <f t="shared" si="42"/>
        <v>0</v>
      </c>
      <c r="AG139" s="238"/>
      <c r="AH139" s="236">
        <f t="shared" si="43"/>
        <v>0</v>
      </c>
      <c r="AI139" s="237">
        <f t="shared" si="44"/>
        <v>0</v>
      </c>
      <c r="AJ139" s="236">
        <f t="shared" si="44"/>
        <v>0</v>
      </c>
      <c r="AK139" s="238"/>
      <c r="AL139" s="236">
        <f t="shared" si="45"/>
        <v>0</v>
      </c>
      <c r="AM139" s="237">
        <f t="shared" si="46"/>
        <v>0</v>
      </c>
      <c r="AN139" s="236">
        <f t="shared" si="46"/>
        <v>0</v>
      </c>
      <c r="AO139" s="240"/>
      <c r="AP139" s="236">
        <f t="shared" si="47"/>
        <v>0</v>
      </c>
    </row>
    <row r="140" spans="1:42" s="134" customFormat="1">
      <c r="A140" s="179"/>
      <c r="B140" s="190" t="s">
        <v>471</v>
      </c>
      <c r="C140" s="181"/>
      <c r="D140" s="182">
        <f>'[34]TAKE OFF sHEET'!P59</f>
        <v>0</v>
      </c>
      <c r="E140" s="183"/>
      <c r="F140" s="166"/>
      <c r="G140" s="242"/>
      <c r="H140" s="239"/>
      <c r="I140" s="238"/>
      <c r="J140" s="239"/>
      <c r="K140" s="238"/>
      <c r="L140" s="239"/>
      <c r="M140" s="238"/>
      <c r="N140" s="239"/>
      <c r="O140" s="238"/>
      <c r="P140" s="239"/>
      <c r="Q140" s="238"/>
      <c r="R140" s="239"/>
      <c r="S140" s="238"/>
      <c r="T140" s="236">
        <f t="shared" si="38"/>
        <v>0</v>
      </c>
      <c r="U140" s="238"/>
      <c r="V140" s="239"/>
      <c r="W140" s="238"/>
      <c r="X140" s="236">
        <f t="shared" si="39"/>
        <v>0</v>
      </c>
      <c r="Y140" s="238"/>
      <c r="Z140" s="239"/>
      <c r="AA140" s="237">
        <f t="shared" si="40"/>
        <v>0</v>
      </c>
      <c r="AB140" s="236">
        <f t="shared" si="40"/>
        <v>0</v>
      </c>
      <c r="AC140" s="238"/>
      <c r="AD140" s="236">
        <f t="shared" si="41"/>
        <v>0</v>
      </c>
      <c r="AE140" s="237">
        <f t="shared" si="42"/>
        <v>0</v>
      </c>
      <c r="AF140" s="236">
        <f t="shared" si="42"/>
        <v>0</v>
      </c>
      <c r="AG140" s="238"/>
      <c r="AH140" s="236">
        <f t="shared" si="43"/>
        <v>0</v>
      </c>
      <c r="AI140" s="237">
        <f t="shared" si="44"/>
        <v>0</v>
      </c>
      <c r="AJ140" s="236">
        <f t="shared" si="44"/>
        <v>0</v>
      </c>
      <c r="AK140" s="238"/>
      <c r="AL140" s="236">
        <f t="shared" si="45"/>
        <v>0</v>
      </c>
      <c r="AM140" s="237">
        <f t="shared" si="46"/>
        <v>0</v>
      </c>
      <c r="AN140" s="236">
        <f t="shared" si="46"/>
        <v>0</v>
      </c>
      <c r="AO140" s="240"/>
      <c r="AP140" s="236">
        <f t="shared" si="47"/>
        <v>0</v>
      </c>
    </row>
    <row r="141" spans="1:42" s="134" customFormat="1">
      <c r="A141" s="185"/>
      <c r="B141" s="188"/>
      <c r="C141" s="181"/>
      <c r="D141" s="182">
        <f>'[34]TAKE OFF sHEET'!P60</f>
        <v>0</v>
      </c>
      <c r="E141" s="187"/>
      <c r="F141" s="184"/>
      <c r="G141" s="242"/>
      <c r="H141" s="239"/>
      <c r="I141" s="238"/>
      <c r="J141" s="239"/>
      <c r="K141" s="238"/>
      <c r="L141" s="239"/>
      <c r="M141" s="238"/>
      <c r="N141" s="239"/>
      <c r="O141" s="238"/>
      <c r="P141" s="239"/>
      <c r="Q141" s="238"/>
      <c r="R141" s="239"/>
      <c r="S141" s="238"/>
      <c r="T141" s="236">
        <f t="shared" si="38"/>
        <v>0</v>
      </c>
      <c r="U141" s="238"/>
      <c r="V141" s="239"/>
      <c r="W141" s="238"/>
      <c r="X141" s="236">
        <f t="shared" si="39"/>
        <v>0</v>
      </c>
      <c r="Y141" s="238"/>
      <c r="Z141" s="239"/>
      <c r="AA141" s="237">
        <f t="shared" si="40"/>
        <v>0</v>
      </c>
      <c r="AB141" s="236">
        <f t="shared" si="40"/>
        <v>0</v>
      </c>
      <c r="AC141" s="238"/>
      <c r="AD141" s="236">
        <f t="shared" si="41"/>
        <v>0</v>
      </c>
      <c r="AE141" s="237">
        <f t="shared" si="42"/>
        <v>0</v>
      </c>
      <c r="AF141" s="236">
        <f t="shared" si="42"/>
        <v>0</v>
      </c>
      <c r="AG141" s="238"/>
      <c r="AH141" s="236">
        <f t="shared" si="43"/>
        <v>0</v>
      </c>
      <c r="AI141" s="237">
        <f t="shared" si="44"/>
        <v>0</v>
      </c>
      <c r="AJ141" s="236">
        <f t="shared" si="44"/>
        <v>0</v>
      </c>
      <c r="AK141" s="238"/>
      <c r="AL141" s="236">
        <f t="shared" si="45"/>
        <v>0</v>
      </c>
      <c r="AM141" s="237">
        <f t="shared" si="46"/>
        <v>0</v>
      </c>
      <c r="AN141" s="236">
        <f t="shared" si="46"/>
        <v>0</v>
      </c>
      <c r="AO141" s="240"/>
      <c r="AP141" s="236">
        <f t="shared" si="47"/>
        <v>0</v>
      </c>
    </row>
    <row r="142" spans="1:42" s="134" customFormat="1">
      <c r="A142" s="185" t="s">
        <v>357</v>
      </c>
      <c r="B142" s="146" t="s">
        <v>472</v>
      </c>
      <c r="C142" s="186" t="s">
        <v>10</v>
      </c>
      <c r="D142" s="182">
        <f>'[34]TAKE OFF sHEET'!P61</f>
        <v>4</v>
      </c>
      <c r="E142" s="187">
        <v>42000</v>
      </c>
      <c r="F142" s="170">
        <f>D142*E142</f>
        <v>168000</v>
      </c>
      <c r="G142" s="242"/>
      <c r="H142" s="239"/>
      <c r="I142" s="238"/>
      <c r="J142" s="239"/>
      <c r="K142" s="238"/>
      <c r="L142" s="239"/>
      <c r="M142" s="238"/>
      <c r="N142" s="239"/>
      <c r="O142" s="238"/>
      <c r="P142" s="239"/>
      <c r="Q142" s="238"/>
      <c r="R142" s="239"/>
      <c r="S142" s="238"/>
      <c r="T142" s="236">
        <f t="shared" si="38"/>
        <v>0</v>
      </c>
      <c r="U142" s="238"/>
      <c r="V142" s="239"/>
      <c r="W142" s="238"/>
      <c r="X142" s="236">
        <f t="shared" si="39"/>
        <v>0</v>
      </c>
      <c r="Y142" s="238"/>
      <c r="Z142" s="239"/>
      <c r="AA142" s="237">
        <f t="shared" si="40"/>
        <v>0</v>
      </c>
      <c r="AB142" s="236">
        <f t="shared" si="40"/>
        <v>0</v>
      </c>
      <c r="AC142" s="238"/>
      <c r="AD142" s="236">
        <f t="shared" si="41"/>
        <v>0</v>
      </c>
      <c r="AE142" s="237">
        <f t="shared" si="42"/>
        <v>0</v>
      </c>
      <c r="AF142" s="236">
        <f t="shared" si="42"/>
        <v>0</v>
      </c>
      <c r="AG142" s="238"/>
      <c r="AH142" s="236">
        <f t="shared" si="43"/>
        <v>0</v>
      </c>
      <c r="AI142" s="237">
        <f t="shared" si="44"/>
        <v>0</v>
      </c>
      <c r="AJ142" s="236">
        <f t="shared" si="44"/>
        <v>0</v>
      </c>
      <c r="AK142" s="238"/>
      <c r="AL142" s="236">
        <f t="shared" si="45"/>
        <v>0</v>
      </c>
      <c r="AM142" s="237">
        <f t="shared" si="46"/>
        <v>0</v>
      </c>
      <c r="AN142" s="236">
        <f t="shared" si="46"/>
        <v>0</v>
      </c>
      <c r="AO142" s="240"/>
      <c r="AP142" s="236">
        <f t="shared" si="47"/>
        <v>0</v>
      </c>
    </row>
    <row r="143" spans="1:42" s="134" customFormat="1">
      <c r="A143" s="185"/>
      <c r="B143" s="188"/>
      <c r="C143" s="181"/>
      <c r="D143" s="182">
        <f>'[34]TAKE OFF sHEET'!P62</f>
        <v>0</v>
      </c>
      <c r="E143" s="183"/>
      <c r="F143" s="166"/>
      <c r="G143" s="242"/>
      <c r="H143" s="239"/>
      <c r="I143" s="238"/>
      <c r="J143" s="239"/>
      <c r="K143" s="238"/>
      <c r="L143" s="239"/>
      <c r="M143" s="238"/>
      <c r="N143" s="239"/>
      <c r="O143" s="238"/>
      <c r="P143" s="239"/>
      <c r="Q143" s="238"/>
      <c r="R143" s="239"/>
      <c r="S143" s="238"/>
      <c r="T143" s="236">
        <f t="shared" si="38"/>
        <v>0</v>
      </c>
      <c r="U143" s="238"/>
      <c r="V143" s="239"/>
      <c r="W143" s="238"/>
      <c r="X143" s="236">
        <f t="shared" si="39"/>
        <v>0</v>
      </c>
      <c r="Y143" s="238"/>
      <c r="Z143" s="239"/>
      <c r="AA143" s="237">
        <f t="shared" si="40"/>
        <v>0</v>
      </c>
      <c r="AB143" s="236">
        <f t="shared" si="40"/>
        <v>0</v>
      </c>
      <c r="AC143" s="238"/>
      <c r="AD143" s="236">
        <f t="shared" si="41"/>
        <v>0</v>
      </c>
      <c r="AE143" s="237">
        <f t="shared" si="42"/>
        <v>0</v>
      </c>
      <c r="AF143" s="236">
        <f t="shared" si="42"/>
        <v>0</v>
      </c>
      <c r="AG143" s="238"/>
      <c r="AH143" s="236">
        <f t="shared" si="43"/>
        <v>0</v>
      </c>
      <c r="AI143" s="237">
        <f t="shared" si="44"/>
        <v>0</v>
      </c>
      <c r="AJ143" s="236">
        <f t="shared" si="44"/>
        <v>0</v>
      </c>
      <c r="AK143" s="238"/>
      <c r="AL143" s="236">
        <f t="shared" si="45"/>
        <v>0</v>
      </c>
      <c r="AM143" s="237">
        <f t="shared" si="46"/>
        <v>0</v>
      </c>
      <c r="AN143" s="236">
        <f t="shared" si="46"/>
        <v>0</v>
      </c>
      <c r="AO143" s="240"/>
      <c r="AP143" s="236">
        <f t="shared" si="47"/>
        <v>0</v>
      </c>
    </row>
    <row r="144" spans="1:42" s="134" customFormat="1">
      <c r="A144" s="185" t="s">
        <v>359</v>
      </c>
      <c r="B144" s="146" t="s">
        <v>473</v>
      </c>
      <c r="C144" s="186" t="s">
        <v>10</v>
      </c>
      <c r="D144" s="182">
        <f>'[34]TAKE OFF sHEET'!P63</f>
        <v>5</v>
      </c>
      <c r="E144" s="187">
        <v>45000</v>
      </c>
      <c r="F144" s="170">
        <f>D144*E144</f>
        <v>225000</v>
      </c>
      <c r="G144" s="242"/>
      <c r="H144" s="239"/>
      <c r="I144" s="238"/>
      <c r="J144" s="239"/>
      <c r="K144" s="238"/>
      <c r="L144" s="239"/>
      <c r="M144" s="238"/>
      <c r="N144" s="239"/>
      <c r="O144" s="238"/>
      <c r="P144" s="239"/>
      <c r="Q144" s="238"/>
      <c r="R144" s="239"/>
      <c r="S144" s="238"/>
      <c r="T144" s="236">
        <f t="shared" si="38"/>
        <v>0</v>
      </c>
      <c r="U144" s="238"/>
      <c r="V144" s="239"/>
      <c r="W144" s="238"/>
      <c r="X144" s="236">
        <f t="shared" si="39"/>
        <v>0</v>
      </c>
      <c r="Y144" s="238"/>
      <c r="Z144" s="239"/>
      <c r="AA144" s="237">
        <f t="shared" si="40"/>
        <v>0</v>
      </c>
      <c r="AB144" s="236">
        <f t="shared" si="40"/>
        <v>0</v>
      </c>
      <c r="AC144" s="238"/>
      <c r="AD144" s="236">
        <f t="shared" si="41"/>
        <v>0</v>
      </c>
      <c r="AE144" s="237">
        <f t="shared" si="42"/>
        <v>0</v>
      </c>
      <c r="AF144" s="236">
        <f t="shared" si="42"/>
        <v>0</v>
      </c>
      <c r="AG144" s="238"/>
      <c r="AH144" s="236">
        <f t="shared" si="43"/>
        <v>0</v>
      </c>
      <c r="AI144" s="237">
        <f t="shared" si="44"/>
        <v>0</v>
      </c>
      <c r="AJ144" s="236">
        <f t="shared" si="44"/>
        <v>0</v>
      </c>
      <c r="AK144" s="238"/>
      <c r="AL144" s="236">
        <f t="shared" si="45"/>
        <v>0</v>
      </c>
      <c r="AM144" s="237">
        <f t="shared" si="46"/>
        <v>0</v>
      </c>
      <c r="AN144" s="236">
        <f t="shared" si="46"/>
        <v>0</v>
      </c>
      <c r="AO144" s="240"/>
      <c r="AP144" s="236">
        <f t="shared" si="47"/>
        <v>0</v>
      </c>
    </row>
    <row r="145" spans="1:42" s="134" customFormat="1">
      <c r="A145" s="185"/>
      <c r="B145" s="146"/>
      <c r="C145" s="181"/>
      <c r="D145" s="182">
        <f>'[34]TAKE OFF sHEET'!P64</f>
        <v>0</v>
      </c>
      <c r="E145" s="183"/>
      <c r="F145" s="166"/>
      <c r="G145" s="242"/>
      <c r="H145" s="239"/>
      <c r="I145" s="238"/>
      <c r="J145" s="239"/>
      <c r="K145" s="238"/>
      <c r="L145" s="239"/>
      <c r="M145" s="238"/>
      <c r="N145" s="239"/>
      <c r="O145" s="238"/>
      <c r="P145" s="239"/>
      <c r="Q145" s="238"/>
      <c r="R145" s="239"/>
      <c r="S145" s="238"/>
      <c r="T145" s="236">
        <f t="shared" si="38"/>
        <v>0</v>
      </c>
      <c r="U145" s="238"/>
      <c r="V145" s="239"/>
      <c r="W145" s="238"/>
      <c r="X145" s="236">
        <f t="shared" si="39"/>
        <v>0</v>
      </c>
      <c r="Y145" s="238"/>
      <c r="Z145" s="239"/>
      <c r="AA145" s="237">
        <f t="shared" si="40"/>
        <v>0</v>
      </c>
      <c r="AB145" s="236">
        <f t="shared" si="40"/>
        <v>0</v>
      </c>
      <c r="AC145" s="238"/>
      <c r="AD145" s="236">
        <f t="shared" si="41"/>
        <v>0</v>
      </c>
      <c r="AE145" s="237">
        <f t="shared" si="42"/>
        <v>0</v>
      </c>
      <c r="AF145" s="236">
        <f t="shared" si="42"/>
        <v>0</v>
      </c>
      <c r="AG145" s="238"/>
      <c r="AH145" s="236">
        <f t="shared" si="43"/>
        <v>0</v>
      </c>
      <c r="AI145" s="237">
        <f t="shared" si="44"/>
        <v>0</v>
      </c>
      <c r="AJ145" s="236">
        <f t="shared" si="44"/>
        <v>0</v>
      </c>
      <c r="AK145" s="238"/>
      <c r="AL145" s="236">
        <f t="shared" si="45"/>
        <v>0</v>
      </c>
      <c r="AM145" s="237">
        <f t="shared" si="46"/>
        <v>0</v>
      </c>
      <c r="AN145" s="236">
        <f t="shared" si="46"/>
        <v>0</v>
      </c>
      <c r="AO145" s="240"/>
      <c r="AP145" s="236">
        <f t="shared" si="47"/>
        <v>0</v>
      </c>
    </row>
    <row r="146" spans="1:42" s="134" customFormat="1">
      <c r="A146" s="179"/>
      <c r="B146" s="190" t="s">
        <v>474</v>
      </c>
      <c r="C146" s="181"/>
      <c r="D146" s="182">
        <f>'[34]TAKE OFF sHEET'!P65</f>
        <v>0</v>
      </c>
      <c r="E146" s="183"/>
      <c r="F146" s="166"/>
      <c r="G146" s="242"/>
      <c r="H146" s="239"/>
      <c r="I146" s="238"/>
      <c r="J146" s="239"/>
      <c r="K146" s="238"/>
      <c r="L146" s="239"/>
      <c r="M146" s="238"/>
      <c r="N146" s="239"/>
      <c r="O146" s="238"/>
      <c r="P146" s="239"/>
      <c r="Q146" s="238"/>
      <c r="R146" s="239"/>
      <c r="S146" s="238"/>
      <c r="T146" s="236">
        <f t="shared" si="38"/>
        <v>0</v>
      </c>
      <c r="U146" s="238"/>
      <c r="V146" s="239"/>
      <c r="W146" s="238"/>
      <c r="X146" s="236">
        <f t="shared" si="39"/>
        <v>0</v>
      </c>
      <c r="Y146" s="238"/>
      <c r="Z146" s="239"/>
      <c r="AA146" s="237">
        <f t="shared" si="40"/>
        <v>0</v>
      </c>
      <c r="AB146" s="236">
        <f t="shared" si="40"/>
        <v>0</v>
      </c>
      <c r="AC146" s="238"/>
      <c r="AD146" s="236">
        <f t="shared" si="41"/>
        <v>0</v>
      </c>
      <c r="AE146" s="237">
        <f t="shared" si="42"/>
        <v>0</v>
      </c>
      <c r="AF146" s="236">
        <f t="shared" si="42"/>
        <v>0</v>
      </c>
      <c r="AG146" s="238"/>
      <c r="AH146" s="236">
        <f t="shared" si="43"/>
        <v>0</v>
      </c>
      <c r="AI146" s="237">
        <f t="shared" si="44"/>
        <v>0</v>
      </c>
      <c r="AJ146" s="236">
        <f t="shared" si="44"/>
        <v>0</v>
      </c>
      <c r="AK146" s="238"/>
      <c r="AL146" s="236">
        <f t="shared" si="45"/>
        <v>0</v>
      </c>
      <c r="AM146" s="237">
        <f t="shared" si="46"/>
        <v>0</v>
      </c>
      <c r="AN146" s="236">
        <f t="shared" si="46"/>
        <v>0</v>
      </c>
      <c r="AO146" s="240"/>
      <c r="AP146" s="236">
        <f t="shared" si="47"/>
        <v>0</v>
      </c>
    </row>
    <row r="147" spans="1:42" s="134" customFormat="1">
      <c r="A147" s="185"/>
      <c r="B147" s="188"/>
      <c r="C147" s="181"/>
      <c r="D147" s="182">
        <f>'[34]TAKE OFF sHEET'!P66</f>
        <v>0</v>
      </c>
      <c r="E147" s="187"/>
      <c r="F147" s="184"/>
      <c r="G147" s="242"/>
      <c r="H147" s="239"/>
      <c r="I147" s="238"/>
      <c r="J147" s="239"/>
      <c r="K147" s="238"/>
      <c r="L147" s="239"/>
      <c r="M147" s="238"/>
      <c r="N147" s="239"/>
      <c r="O147" s="238"/>
      <c r="P147" s="239"/>
      <c r="Q147" s="238"/>
      <c r="R147" s="239"/>
      <c r="S147" s="238"/>
      <c r="T147" s="236">
        <f t="shared" si="38"/>
        <v>0</v>
      </c>
      <c r="U147" s="238"/>
      <c r="V147" s="239"/>
      <c r="W147" s="238"/>
      <c r="X147" s="236">
        <f t="shared" si="39"/>
        <v>0</v>
      </c>
      <c r="Y147" s="238"/>
      <c r="Z147" s="239"/>
      <c r="AA147" s="237">
        <f t="shared" si="40"/>
        <v>0</v>
      </c>
      <c r="AB147" s="236">
        <f t="shared" si="40"/>
        <v>0</v>
      </c>
      <c r="AC147" s="238"/>
      <c r="AD147" s="236">
        <f t="shared" si="41"/>
        <v>0</v>
      </c>
      <c r="AE147" s="237">
        <f t="shared" si="42"/>
        <v>0</v>
      </c>
      <c r="AF147" s="236">
        <f t="shared" si="42"/>
        <v>0</v>
      </c>
      <c r="AG147" s="238"/>
      <c r="AH147" s="236">
        <f t="shared" si="43"/>
        <v>0</v>
      </c>
      <c r="AI147" s="237">
        <f t="shared" si="44"/>
        <v>0</v>
      </c>
      <c r="AJ147" s="236">
        <f t="shared" si="44"/>
        <v>0</v>
      </c>
      <c r="AK147" s="238"/>
      <c r="AL147" s="236">
        <f t="shared" si="45"/>
        <v>0</v>
      </c>
      <c r="AM147" s="237">
        <f t="shared" si="46"/>
        <v>0</v>
      </c>
      <c r="AN147" s="236">
        <f t="shared" si="46"/>
        <v>0</v>
      </c>
      <c r="AO147" s="240"/>
      <c r="AP147" s="236">
        <f t="shared" si="47"/>
        <v>0</v>
      </c>
    </row>
    <row r="148" spans="1:42" s="243" customFormat="1" ht="25">
      <c r="A148" s="185" t="s">
        <v>362</v>
      </c>
      <c r="B148" s="146" t="s">
        <v>475</v>
      </c>
      <c r="C148" s="186" t="s">
        <v>10</v>
      </c>
      <c r="D148" s="182">
        <f>'[34]TAKE OFF sHEET'!P67</f>
        <v>4</v>
      </c>
      <c r="E148" s="187">
        <v>92400</v>
      </c>
      <c r="F148" s="170">
        <f>D148*E148</f>
        <v>369600</v>
      </c>
      <c r="G148" s="242"/>
      <c r="H148" s="239"/>
      <c r="I148" s="238"/>
      <c r="J148" s="239"/>
      <c r="K148" s="238"/>
      <c r="L148" s="239"/>
      <c r="M148" s="238"/>
      <c r="N148" s="239"/>
      <c r="O148" s="238"/>
      <c r="P148" s="239"/>
      <c r="Q148" s="238"/>
      <c r="R148" s="239"/>
      <c r="S148" s="238"/>
      <c r="T148" s="236">
        <f t="shared" si="38"/>
        <v>0</v>
      </c>
      <c r="U148" s="238"/>
      <c r="V148" s="239"/>
      <c r="W148" s="238"/>
      <c r="X148" s="236">
        <f t="shared" si="39"/>
        <v>0</v>
      </c>
      <c r="Y148" s="238"/>
      <c r="Z148" s="239"/>
      <c r="AA148" s="237">
        <f t="shared" si="40"/>
        <v>0</v>
      </c>
      <c r="AB148" s="236">
        <f t="shared" si="40"/>
        <v>0</v>
      </c>
      <c r="AC148" s="238"/>
      <c r="AD148" s="236">
        <f t="shared" si="41"/>
        <v>0</v>
      </c>
      <c r="AE148" s="237">
        <f t="shared" si="42"/>
        <v>0</v>
      </c>
      <c r="AF148" s="236">
        <f t="shared" si="42"/>
        <v>0</v>
      </c>
      <c r="AG148" s="238"/>
      <c r="AH148" s="236">
        <f t="shared" si="43"/>
        <v>0</v>
      </c>
      <c r="AI148" s="237">
        <f t="shared" si="44"/>
        <v>0</v>
      </c>
      <c r="AJ148" s="236">
        <f t="shared" si="44"/>
        <v>0</v>
      </c>
      <c r="AK148" s="238"/>
      <c r="AL148" s="236">
        <f t="shared" si="45"/>
        <v>0</v>
      </c>
      <c r="AM148" s="237">
        <f t="shared" si="46"/>
        <v>0</v>
      </c>
      <c r="AN148" s="236">
        <f t="shared" si="46"/>
        <v>0</v>
      </c>
      <c r="AO148" s="240"/>
      <c r="AP148" s="236">
        <f t="shared" si="47"/>
        <v>0</v>
      </c>
    </row>
    <row r="149" spans="1:42" ht="13" thickBot="1">
      <c r="A149" s="6"/>
      <c r="B149" s="151"/>
      <c r="C149" s="116"/>
      <c r="D149" s="149"/>
      <c r="E149" s="150"/>
      <c r="F149" s="171"/>
    </row>
    <row r="150" spans="1:42" s="3" customFormat="1" ht="13" thickTop="1">
      <c r="A150" s="15"/>
      <c r="B150" s="10"/>
      <c r="C150" s="104"/>
      <c r="D150" s="119"/>
      <c r="E150" s="105"/>
      <c r="F150" s="80"/>
    </row>
    <row r="151" spans="1:42" s="3" customFormat="1" ht="13">
      <c r="A151" s="106"/>
      <c r="B151" s="107" t="s">
        <v>301</v>
      </c>
      <c r="C151" s="108"/>
      <c r="D151" s="120"/>
      <c r="E151" s="109"/>
      <c r="F151" s="75">
        <f>SUM(F68:F150)</f>
        <v>3576550</v>
      </c>
    </row>
    <row r="152" spans="1:42" s="3" customFormat="1" ht="13" thickBot="1">
      <c r="A152" s="12"/>
      <c r="B152" s="110"/>
      <c r="C152" s="111"/>
      <c r="D152" s="122"/>
      <c r="E152" s="112"/>
      <c r="F152" s="82"/>
    </row>
    <row r="153" spans="1:42" ht="13.5" thickTop="1">
      <c r="A153" s="197"/>
      <c r="B153" s="1544"/>
      <c r="C153" s="1544"/>
      <c r="D153" s="1544"/>
      <c r="E153" s="1544"/>
      <c r="F153" s="198"/>
    </row>
    <row r="154" spans="1:42" ht="12.75" customHeight="1">
      <c r="A154" s="1542" t="s">
        <v>438</v>
      </c>
      <c r="B154" s="1542"/>
      <c r="C154" s="1542"/>
      <c r="D154" s="1542"/>
      <c r="E154" s="1542"/>
      <c r="F154" s="1542"/>
    </row>
    <row r="155" spans="1:42" ht="13" thickBot="1">
      <c r="A155" s="9"/>
      <c r="D155" s="127"/>
      <c r="E155" s="128"/>
    </row>
    <row r="156" spans="1:42" ht="27" thickTop="1" thickBot="1">
      <c r="A156" s="13" t="s">
        <v>4</v>
      </c>
      <c r="B156" s="129" t="s">
        <v>5</v>
      </c>
      <c r="C156" s="129" t="s">
        <v>6</v>
      </c>
      <c r="D156" s="130" t="s">
        <v>1</v>
      </c>
      <c r="E156" s="131" t="s">
        <v>7</v>
      </c>
      <c r="F156" s="76" t="s">
        <v>8</v>
      </c>
    </row>
    <row r="157" spans="1:42" ht="13.5" thickTop="1">
      <c r="A157" s="18"/>
      <c r="B157" s="74"/>
      <c r="C157" s="74"/>
      <c r="D157" s="132"/>
      <c r="E157" s="133"/>
      <c r="F157" s="113"/>
    </row>
    <row r="158" spans="1:42" ht="26">
      <c r="A158" s="25"/>
      <c r="B158" s="148" t="s">
        <v>26</v>
      </c>
      <c r="C158" s="116"/>
      <c r="D158" s="149"/>
      <c r="E158" s="150"/>
      <c r="F158" s="171"/>
    </row>
    <row r="159" spans="1:42" ht="13">
      <c r="A159" s="25"/>
      <c r="B159" s="148"/>
      <c r="C159" s="116"/>
      <c r="D159" s="149"/>
      <c r="E159" s="150"/>
      <c r="F159" s="171"/>
    </row>
    <row r="160" spans="1:42" ht="13">
      <c r="A160" s="25"/>
      <c r="B160" s="190" t="s">
        <v>364</v>
      </c>
      <c r="C160" s="116"/>
      <c r="D160" s="149"/>
      <c r="E160" s="150"/>
      <c r="F160" s="171"/>
    </row>
    <row r="161" spans="1:42" ht="13">
      <c r="A161" s="6"/>
      <c r="B161" s="152" t="s">
        <v>365</v>
      </c>
      <c r="C161" s="116"/>
      <c r="D161" s="149"/>
      <c r="E161" s="150"/>
      <c r="F161" s="171"/>
    </row>
    <row r="162" spans="1:42">
      <c r="A162" s="6"/>
      <c r="B162" s="151"/>
      <c r="C162" s="116"/>
      <c r="D162" s="149"/>
      <c r="E162" s="150"/>
      <c r="F162" s="171"/>
    </row>
    <row r="163" spans="1:42" ht="25">
      <c r="A163" s="6" t="s">
        <v>366</v>
      </c>
      <c r="B163" s="199" t="s">
        <v>367</v>
      </c>
      <c r="C163" s="116" t="s">
        <v>10</v>
      </c>
      <c r="D163" s="149">
        <f>'[34]TAKE OFF sHEET'!L21</f>
        <v>4</v>
      </c>
      <c r="E163" s="150">
        <v>50000</v>
      </c>
      <c r="F163" s="171">
        <f>D163*E163</f>
        <v>200000</v>
      </c>
    </row>
    <row r="164" spans="1:42">
      <c r="A164" s="6"/>
      <c r="B164" s="151"/>
      <c r="C164" s="116"/>
      <c r="D164" s="149"/>
      <c r="E164" s="150"/>
      <c r="F164" s="171"/>
    </row>
    <row r="165" spans="1:42" ht="13">
      <c r="A165" s="6"/>
      <c r="B165" s="152" t="s">
        <v>368</v>
      </c>
      <c r="C165" s="116"/>
      <c r="D165" s="149"/>
      <c r="E165" s="150"/>
      <c r="F165" s="171"/>
    </row>
    <row r="166" spans="1:42">
      <c r="A166" s="6"/>
      <c r="B166" s="151"/>
      <c r="C166" s="116"/>
      <c r="D166" s="149"/>
      <c r="E166" s="150"/>
      <c r="F166" s="171"/>
    </row>
    <row r="167" spans="1:42">
      <c r="A167" s="6" t="s">
        <v>369</v>
      </c>
      <c r="B167" s="151" t="s">
        <v>370</v>
      </c>
      <c r="C167" s="116" t="s">
        <v>10</v>
      </c>
      <c r="D167" s="149">
        <f>'[34]TAKE OFF sHEET'!L17+'[34]TAKE OFF sHEET'!L19</f>
        <v>5</v>
      </c>
      <c r="E167" s="150">
        <v>100000</v>
      </c>
      <c r="F167" s="171">
        <f>D167*E167</f>
        <v>500000</v>
      </c>
    </row>
    <row r="168" spans="1:42">
      <c r="A168" s="6"/>
      <c r="B168" s="151"/>
      <c r="C168" s="116"/>
      <c r="D168" s="149"/>
      <c r="E168" s="150"/>
      <c r="F168" s="171"/>
    </row>
    <row r="169" spans="1:42" s="246" customFormat="1" ht="12.75" customHeight="1">
      <c r="A169" s="200" t="s">
        <v>371</v>
      </c>
      <c r="B169" s="201" t="s">
        <v>372</v>
      </c>
      <c r="C169" s="202"/>
      <c r="D169" s="102"/>
      <c r="E169" s="102"/>
      <c r="F169" s="203"/>
    </row>
    <row r="170" spans="1:42" s="247" customFormat="1" ht="11.25" customHeight="1">
      <c r="A170" s="204"/>
      <c r="B170" s="205"/>
      <c r="C170" s="206"/>
      <c r="D170" s="207"/>
      <c r="E170" s="207"/>
      <c r="F170" s="208"/>
    </row>
    <row r="171" spans="1:42" s="247" customFormat="1" ht="30.75" customHeight="1">
      <c r="A171" s="204" t="s">
        <v>373</v>
      </c>
      <c r="B171" s="205" t="s">
        <v>374</v>
      </c>
      <c r="C171" s="209" t="s">
        <v>43</v>
      </c>
      <c r="D171" s="207">
        <v>1</v>
      </c>
      <c r="E171" s="207">
        <v>300000</v>
      </c>
      <c r="F171" s="208">
        <f>+D171*E171</f>
        <v>300000</v>
      </c>
    </row>
    <row r="172" spans="1:42" s="249" customFormat="1">
      <c r="A172" s="41"/>
      <c r="B172" s="205"/>
      <c r="C172" s="99"/>
      <c r="D172" s="114"/>
      <c r="E172" s="114"/>
      <c r="F172" s="210"/>
      <c r="G172" s="248"/>
    </row>
    <row r="173" spans="1:42" s="134" customFormat="1">
      <c r="A173" s="185" t="s">
        <v>375</v>
      </c>
      <c r="B173" s="146" t="s">
        <v>376</v>
      </c>
      <c r="C173" s="186" t="s">
        <v>10</v>
      </c>
      <c r="D173" s="182">
        <v>1</v>
      </c>
      <c r="E173" s="187">
        <v>56250</v>
      </c>
      <c r="F173" s="170">
        <f>D173*E173</f>
        <v>56250</v>
      </c>
      <c r="G173" s="242"/>
      <c r="H173" s="239"/>
      <c r="I173" s="238"/>
      <c r="J173" s="239"/>
      <c r="K173" s="238"/>
      <c r="L173" s="239"/>
      <c r="M173" s="238"/>
      <c r="N173" s="239"/>
      <c r="O173" s="238"/>
      <c r="P173" s="239"/>
      <c r="Q173" s="238"/>
      <c r="R173" s="239"/>
      <c r="S173" s="238"/>
      <c r="T173" s="236">
        <f>R173+P173</f>
        <v>0</v>
      </c>
      <c r="U173" s="238"/>
      <c r="V173" s="239"/>
      <c r="W173" s="238"/>
      <c r="X173" s="236">
        <f>V173+T173</f>
        <v>0</v>
      </c>
      <c r="Y173" s="238"/>
      <c r="Z173" s="239"/>
      <c r="AA173" s="237">
        <f>Y173+W173</f>
        <v>0</v>
      </c>
      <c r="AB173" s="236">
        <f>Z173+X173</f>
        <v>0</v>
      </c>
      <c r="AC173" s="238"/>
      <c r="AD173" s="236">
        <f>AC173*E173</f>
        <v>0</v>
      </c>
      <c r="AE173" s="237">
        <f>AC173+AA173</f>
        <v>0</v>
      </c>
      <c r="AF173" s="236">
        <f>AD173+AB173</f>
        <v>0</v>
      </c>
      <c r="AG173" s="238"/>
      <c r="AH173" s="236">
        <f>AG173*E173</f>
        <v>0</v>
      </c>
      <c r="AI173" s="237">
        <f>AG173+AE173</f>
        <v>0</v>
      </c>
      <c r="AJ173" s="236">
        <f>AH173+AF173</f>
        <v>0</v>
      </c>
      <c r="AK173" s="238"/>
      <c r="AL173" s="236">
        <f>AK173*E173</f>
        <v>0</v>
      </c>
      <c r="AM173" s="237">
        <f>AK173+AI173</f>
        <v>0</v>
      </c>
      <c r="AN173" s="236">
        <f>AL173+AJ173</f>
        <v>0</v>
      </c>
      <c r="AO173" s="240"/>
      <c r="AP173" s="236">
        <f>AO173*E173</f>
        <v>0</v>
      </c>
    </row>
    <row r="174" spans="1:42" s="134" customFormat="1">
      <c r="A174" s="185"/>
      <c r="B174" s="146"/>
      <c r="C174" s="186"/>
      <c r="D174" s="182"/>
      <c r="E174" s="187"/>
      <c r="F174" s="170"/>
      <c r="G174" s="242"/>
      <c r="H174" s="239"/>
      <c r="I174" s="238"/>
      <c r="J174" s="239"/>
      <c r="K174" s="238"/>
      <c r="L174" s="239"/>
      <c r="M174" s="238"/>
      <c r="N174" s="239"/>
      <c r="O174" s="238"/>
      <c r="P174" s="239"/>
      <c r="Q174" s="238"/>
      <c r="R174" s="239"/>
      <c r="S174" s="238"/>
      <c r="T174" s="236"/>
      <c r="U174" s="238"/>
      <c r="V174" s="239"/>
      <c r="W174" s="238"/>
      <c r="X174" s="236"/>
      <c r="Y174" s="238"/>
      <c r="Z174" s="239"/>
      <c r="AA174" s="237"/>
      <c r="AB174" s="236"/>
      <c r="AC174" s="238"/>
      <c r="AD174" s="236"/>
      <c r="AE174" s="237"/>
      <c r="AF174" s="236"/>
      <c r="AG174" s="238"/>
      <c r="AH174" s="236"/>
      <c r="AI174" s="237"/>
      <c r="AJ174" s="236"/>
      <c r="AK174" s="238"/>
      <c r="AL174" s="236"/>
      <c r="AM174" s="237"/>
      <c r="AN174" s="236"/>
      <c r="AO174" s="240"/>
      <c r="AP174" s="236"/>
    </row>
    <row r="175" spans="1:42" s="134" customFormat="1">
      <c r="A175" s="185" t="s">
        <v>377</v>
      </c>
      <c r="B175" s="211" t="s">
        <v>378</v>
      </c>
      <c r="C175" s="186" t="s">
        <v>10</v>
      </c>
      <c r="D175" s="182">
        <v>15</v>
      </c>
      <c r="E175" s="187">
        <v>6000</v>
      </c>
      <c r="F175" s="170">
        <f>D175*E175</f>
        <v>90000</v>
      </c>
      <c r="G175" s="242"/>
      <c r="H175" s="239"/>
      <c r="I175" s="238"/>
      <c r="J175" s="239"/>
      <c r="K175" s="238"/>
      <c r="L175" s="239"/>
      <c r="M175" s="238"/>
      <c r="N175" s="239"/>
      <c r="O175" s="238"/>
      <c r="P175" s="239"/>
      <c r="Q175" s="238"/>
      <c r="R175" s="239"/>
      <c r="S175" s="238"/>
      <c r="T175" s="236">
        <f>R175+P175</f>
        <v>0</v>
      </c>
      <c r="U175" s="238"/>
      <c r="V175" s="239"/>
      <c r="W175" s="238"/>
      <c r="X175" s="236">
        <f>V175+T175</f>
        <v>0</v>
      </c>
      <c r="Y175" s="238"/>
      <c r="Z175" s="239"/>
      <c r="AA175" s="237">
        <f t="shared" ref="AA175:AB177" si="48">Y175+W175</f>
        <v>0</v>
      </c>
      <c r="AB175" s="236">
        <f t="shared" si="48"/>
        <v>0</v>
      </c>
      <c r="AC175" s="238"/>
      <c r="AD175" s="236">
        <f>AC175*E175</f>
        <v>0</v>
      </c>
      <c r="AE175" s="237">
        <f t="shared" ref="AE175:AF177" si="49">AC175+AA175</f>
        <v>0</v>
      </c>
      <c r="AF175" s="236">
        <f t="shared" si="49"/>
        <v>0</v>
      </c>
      <c r="AG175" s="238"/>
      <c r="AH175" s="236">
        <f>AG175*E175</f>
        <v>0</v>
      </c>
      <c r="AI175" s="237">
        <f t="shared" ref="AI175:AJ177" si="50">AG175+AE175</f>
        <v>0</v>
      </c>
      <c r="AJ175" s="236">
        <f t="shared" si="50"/>
        <v>0</v>
      </c>
      <c r="AK175" s="238"/>
      <c r="AL175" s="236">
        <f>AK175*E175</f>
        <v>0</v>
      </c>
      <c r="AM175" s="237">
        <f t="shared" ref="AM175:AN177" si="51">AK175+AI175</f>
        <v>0</v>
      </c>
      <c r="AN175" s="236">
        <f t="shared" si="51"/>
        <v>0</v>
      </c>
      <c r="AO175" s="240"/>
      <c r="AP175" s="236">
        <f>AO175*E175</f>
        <v>0</v>
      </c>
    </row>
    <row r="176" spans="1:42" s="134" customFormat="1">
      <c r="A176" s="185"/>
      <c r="B176" s="211"/>
      <c r="C176" s="181"/>
      <c r="D176" s="182"/>
      <c r="E176" s="187"/>
      <c r="F176" s="184"/>
      <c r="G176" s="242"/>
      <c r="H176" s="239"/>
      <c r="I176" s="238"/>
      <c r="J176" s="239"/>
      <c r="K176" s="238"/>
      <c r="L176" s="239"/>
      <c r="M176" s="238"/>
      <c r="N176" s="239"/>
      <c r="O176" s="238"/>
      <c r="P176" s="239"/>
      <c r="Q176" s="238"/>
      <c r="R176" s="239"/>
      <c r="S176" s="238"/>
      <c r="T176" s="236">
        <f>R176+P176</f>
        <v>0</v>
      </c>
      <c r="U176" s="238"/>
      <c r="V176" s="239"/>
      <c r="W176" s="238"/>
      <c r="X176" s="236">
        <f>V176+T176</f>
        <v>0</v>
      </c>
      <c r="Y176" s="238"/>
      <c r="Z176" s="239"/>
      <c r="AA176" s="237">
        <f t="shared" si="48"/>
        <v>0</v>
      </c>
      <c r="AB176" s="236">
        <f t="shared" si="48"/>
        <v>0</v>
      </c>
      <c r="AC176" s="238"/>
      <c r="AD176" s="236">
        <f>AC176*E176</f>
        <v>0</v>
      </c>
      <c r="AE176" s="237">
        <f t="shared" si="49"/>
        <v>0</v>
      </c>
      <c r="AF176" s="236">
        <f t="shared" si="49"/>
        <v>0</v>
      </c>
      <c r="AG176" s="238"/>
      <c r="AH176" s="236">
        <f>AG176*E176</f>
        <v>0</v>
      </c>
      <c r="AI176" s="237">
        <f t="shared" si="50"/>
        <v>0</v>
      </c>
      <c r="AJ176" s="236">
        <f t="shared" si="50"/>
        <v>0</v>
      </c>
      <c r="AK176" s="238"/>
      <c r="AL176" s="236">
        <f>AK176*E176</f>
        <v>0</v>
      </c>
      <c r="AM176" s="237">
        <f t="shared" si="51"/>
        <v>0</v>
      </c>
      <c r="AN176" s="236">
        <f t="shared" si="51"/>
        <v>0</v>
      </c>
      <c r="AO176" s="240"/>
      <c r="AP176" s="236">
        <f>AO176*E176</f>
        <v>0</v>
      </c>
    </row>
    <row r="177" spans="1:42" s="134" customFormat="1">
      <c r="A177" s="185" t="s">
        <v>379</v>
      </c>
      <c r="B177" s="211" t="s">
        <v>380</v>
      </c>
      <c r="C177" s="186" t="s">
        <v>10</v>
      </c>
      <c r="D177" s="182">
        <v>10</v>
      </c>
      <c r="E177" s="187">
        <v>9000</v>
      </c>
      <c r="F177" s="170">
        <f>D177*E177</f>
        <v>90000</v>
      </c>
      <c r="G177" s="242"/>
      <c r="H177" s="239"/>
      <c r="I177" s="238"/>
      <c r="J177" s="239"/>
      <c r="K177" s="238"/>
      <c r="L177" s="239"/>
      <c r="M177" s="238"/>
      <c r="N177" s="239"/>
      <c r="O177" s="238"/>
      <c r="P177" s="239"/>
      <c r="Q177" s="238"/>
      <c r="R177" s="239"/>
      <c r="S177" s="238"/>
      <c r="T177" s="236">
        <f>R177+P177</f>
        <v>0</v>
      </c>
      <c r="U177" s="238"/>
      <c r="V177" s="239"/>
      <c r="W177" s="238"/>
      <c r="X177" s="236">
        <f>V177+T177</f>
        <v>0</v>
      </c>
      <c r="Y177" s="238"/>
      <c r="Z177" s="239"/>
      <c r="AA177" s="237">
        <f t="shared" si="48"/>
        <v>0</v>
      </c>
      <c r="AB177" s="236">
        <f t="shared" si="48"/>
        <v>0</v>
      </c>
      <c r="AC177" s="238"/>
      <c r="AD177" s="236">
        <f>AC177*E177</f>
        <v>0</v>
      </c>
      <c r="AE177" s="237">
        <f t="shared" si="49"/>
        <v>0</v>
      </c>
      <c r="AF177" s="236">
        <f t="shared" si="49"/>
        <v>0</v>
      </c>
      <c r="AG177" s="238"/>
      <c r="AH177" s="236">
        <f>AG177*E177</f>
        <v>0</v>
      </c>
      <c r="AI177" s="237">
        <f t="shared" si="50"/>
        <v>0</v>
      </c>
      <c r="AJ177" s="236">
        <f t="shared" si="50"/>
        <v>0</v>
      </c>
      <c r="AK177" s="238"/>
      <c r="AL177" s="236">
        <f>AK177*E177</f>
        <v>0</v>
      </c>
      <c r="AM177" s="237">
        <f t="shared" si="51"/>
        <v>0</v>
      </c>
      <c r="AN177" s="236">
        <f t="shared" si="51"/>
        <v>0</v>
      </c>
      <c r="AO177" s="240"/>
      <c r="AP177" s="236">
        <f>AO177*E177</f>
        <v>0</v>
      </c>
    </row>
    <row r="178" spans="1:42" s="134" customFormat="1">
      <c r="A178" s="185"/>
      <c r="B178" s="211"/>
      <c r="C178" s="186"/>
      <c r="D178" s="182"/>
      <c r="E178" s="187"/>
      <c r="F178" s="170"/>
      <c r="G178" s="242"/>
      <c r="H178" s="239"/>
      <c r="I178" s="238"/>
      <c r="J178" s="239"/>
      <c r="K178" s="238"/>
      <c r="L178" s="239"/>
      <c r="M178" s="238"/>
      <c r="N178" s="239"/>
      <c r="O178" s="238"/>
      <c r="P178" s="239"/>
      <c r="Q178" s="238"/>
      <c r="R178" s="239"/>
      <c r="S178" s="238"/>
      <c r="T178" s="236"/>
      <c r="U178" s="238"/>
      <c r="V178" s="239"/>
      <c r="W178" s="238"/>
      <c r="X178" s="236"/>
      <c r="Y178" s="238"/>
      <c r="Z178" s="239"/>
      <c r="AA178" s="237"/>
      <c r="AB178" s="236"/>
      <c r="AC178" s="238"/>
      <c r="AD178" s="236"/>
      <c r="AE178" s="237"/>
      <c r="AF178" s="236"/>
      <c r="AG178" s="238"/>
      <c r="AH178" s="236"/>
      <c r="AI178" s="237"/>
      <c r="AJ178" s="236"/>
      <c r="AK178" s="238"/>
      <c r="AL178" s="236"/>
      <c r="AM178" s="237"/>
      <c r="AN178" s="236"/>
      <c r="AO178" s="240"/>
      <c r="AP178" s="236"/>
    </row>
    <row r="179" spans="1:42" s="134" customFormat="1" ht="25">
      <c r="A179" s="185" t="s">
        <v>381</v>
      </c>
      <c r="B179" s="211" t="s">
        <v>382</v>
      </c>
      <c r="C179" s="186" t="s">
        <v>10</v>
      </c>
      <c r="D179" s="182">
        <v>10</v>
      </c>
      <c r="E179" s="187">
        <v>10000</v>
      </c>
      <c r="F179" s="170">
        <f>D179*E179</f>
        <v>100000</v>
      </c>
      <c r="G179" s="242"/>
      <c r="H179" s="239"/>
      <c r="I179" s="238"/>
      <c r="J179" s="239"/>
      <c r="K179" s="238"/>
      <c r="L179" s="239"/>
      <c r="M179" s="238"/>
      <c r="N179" s="239"/>
      <c r="O179" s="238"/>
      <c r="P179" s="239"/>
      <c r="Q179" s="238"/>
      <c r="R179" s="239"/>
      <c r="S179" s="238"/>
      <c r="T179" s="236">
        <f>R179+P179</f>
        <v>0</v>
      </c>
      <c r="U179" s="238"/>
      <c r="V179" s="239"/>
      <c r="W179" s="238"/>
      <c r="X179" s="236">
        <f>V179+T179</f>
        <v>0</v>
      </c>
      <c r="Y179" s="238"/>
      <c r="Z179" s="239"/>
      <c r="AA179" s="237">
        <f>Y179+W179</f>
        <v>0</v>
      </c>
      <c r="AB179" s="236">
        <f>Z179+X179</f>
        <v>0</v>
      </c>
      <c r="AC179" s="238"/>
      <c r="AD179" s="236">
        <f>AC179*E179</f>
        <v>0</v>
      </c>
      <c r="AE179" s="237">
        <f>AC179+AA179</f>
        <v>0</v>
      </c>
      <c r="AF179" s="236">
        <f>AD179+AB179</f>
        <v>0</v>
      </c>
      <c r="AG179" s="238"/>
      <c r="AH179" s="236">
        <f>AG179*E179</f>
        <v>0</v>
      </c>
      <c r="AI179" s="237">
        <f>AG179+AE179</f>
        <v>0</v>
      </c>
      <c r="AJ179" s="236">
        <f>AH179+AF179</f>
        <v>0</v>
      </c>
      <c r="AK179" s="238"/>
      <c r="AL179" s="236">
        <f>AK179*E179</f>
        <v>0</v>
      </c>
      <c r="AM179" s="237">
        <f>AK179+AI179</f>
        <v>0</v>
      </c>
      <c r="AN179" s="236">
        <f>AL179+AJ179</f>
        <v>0</v>
      </c>
      <c r="AO179" s="240"/>
      <c r="AP179" s="236">
        <f>AO179*E179</f>
        <v>0</v>
      </c>
    </row>
    <row r="180" spans="1:42" s="134" customFormat="1">
      <c r="A180" s="185"/>
      <c r="B180" s="211"/>
      <c r="C180" s="186"/>
      <c r="D180" s="182"/>
      <c r="E180" s="187"/>
      <c r="F180" s="170"/>
      <c r="G180" s="242"/>
      <c r="H180" s="239"/>
      <c r="I180" s="238"/>
      <c r="J180" s="239"/>
      <c r="K180" s="238"/>
      <c r="L180" s="239"/>
      <c r="M180" s="238"/>
      <c r="N180" s="239"/>
      <c r="O180" s="238"/>
      <c r="P180" s="239"/>
      <c r="Q180" s="238"/>
      <c r="R180" s="239"/>
      <c r="S180" s="238"/>
      <c r="T180" s="236"/>
      <c r="U180" s="238"/>
      <c r="V180" s="239"/>
      <c r="W180" s="238"/>
      <c r="X180" s="236"/>
      <c r="Y180" s="238"/>
      <c r="Z180" s="239"/>
      <c r="AA180" s="237"/>
      <c r="AB180" s="236"/>
      <c r="AC180" s="238"/>
      <c r="AD180" s="236"/>
      <c r="AE180" s="237"/>
      <c r="AF180" s="236"/>
      <c r="AG180" s="238"/>
      <c r="AH180" s="236"/>
      <c r="AI180" s="237"/>
      <c r="AJ180" s="236"/>
      <c r="AK180" s="238"/>
      <c r="AL180" s="236"/>
      <c r="AM180" s="237"/>
      <c r="AN180" s="236"/>
      <c r="AO180" s="240"/>
      <c r="AP180" s="236"/>
    </row>
    <row r="181" spans="1:42" s="134" customFormat="1" ht="25">
      <c r="A181" s="185" t="s">
        <v>383</v>
      </c>
      <c r="B181" s="211" t="s">
        <v>384</v>
      </c>
      <c r="C181" s="186" t="s">
        <v>10</v>
      </c>
      <c r="D181" s="182">
        <v>22</v>
      </c>
      <c r="E181" s="187">
        <v>10000</v>
      </c>
      <c r="F181" s="170">
        <f>D181*E181</f>
        <v>220000</v>
      </c>
      <c r="G181" s="242"/>
      <c r="H181" s="239"/>
      <c r="I181" s="238"/>
      <c r="J181" s="239"/>
      <c r="K181" s="238"/>
      <c r="L181" s="239"/>
      <c r="M181" s="238"/>
      <c r="N181" s="239"/>
      <c r="O181" s="238"/>
      <c r="P181" s="239"/>
      <c r="Q181" s="238"/>
      <c r="R181" s="239"/>
      <c r="S181" s="238"/>
      <c r="T181" s="236">
        <f>R181+P181</f>
        <v>0</v>
      </c>
      <c r="U181" s="238"/>
      <c r="V181" s="239"/>
      <c r="W181" s="238"/>
      <c r="X181" s="236">
        <f>V181+T181</f>
        <v>0</v>
      </c>
      <c r="Y181" s="238"/>
      <c r="Z181" s="239"/>
      <c r="AA181" s="237">
        <f>Y181+W181</f>
        <v>0</v>
      </c>
      <c r="AB181" s="236">
        <f>Z181+X181</f>
        <v>0</v>
      </c>
      <c r="AC181" s="238"/>
      <c r="AD181" s="236">
        <f>AC181*E181</f>
        <v>0</v>
      </c>
      <c r="AE181" s="237">
        <f>AC181+AA181</f>
        <v>0</v>
      </c>
      <c r="AF181" s="236">
        <f>AD181+AB181</f>
        <v>0</v>
      </c>
      <c r="AG181" s="238"/>
      <c r="AH181" s="236">
        <f>AG181*E181</f>
        <v>0</v>
      </c>
      <c r="AI181" s="237">
        <f>AG181+AE181</f>
        <v>0</v>
      </c>
      <c r="AJ181" s="236">
        <f>AH181+AF181</f>
        <v>0</v>
      </c>
      <c r="AK181" s="238"/>
      <c r="AL181" s="236">
        <f>AK181*E181</f>
        <v>0</v>
      </c>
      <c r="AM181" s="237">
        <f>AK181+AI181</f>
        <v>0</v>
      </c>
      <c r="AN181" s="236">
        <f>AL181+AJ181</f>
        <v>0</v>
      </c>
      <c r="AO181" s="240"/>
      <c r="AP181" s="236">
        <f>AO181*E181</f>
        <v>0</v>
      </c>
    </row>
    <row r="182" spans="1:42" s="134" customFormat="1">
      <c r="A182" s="185"/>
      <c r="B182" s="211"/>
      <c r="C182" s="181"/>
      <c r="D182" s="182"/>
      <c r="E182" s="187"/>
      <c r="F182" s="184"/>
      <c r="G182" s="242"/>
      <c r="H182" s="239"/>
      <c r="I182" s="238"/>
      <c r="J182" s="239"/>
      <c r="K182" s="238"/>
      <c r="L182" s="239"/>
      <c r="M182" s="238"/>
      <c r="N182" s="239"/>
      <c r="O182" s="238"/>
      <c r="P182" s="239"/>
      <c r="Q182" s="238"/>
      <c r="R182" s="239"/>
      <c r="S182" s="238"/>
      <c r="T182" s="236">
        <f>R182+P182</f>
        <v>0</v>
      </c>
      <c r="U182" s="238"/>
      <c r="V182" s="239"/>
      <c r="W182" s="238"/>
      <c r="X182" s="236">
        <f>V182+T182</f>
        <v>0</v>
      </c>
      <c r="Y182" s="238"/>
      <c r="Z182" s="239"/>
      <c r="AA182" s="237">
        <f>Y182+W182</f>
        <v>0</v>
      </c>
      <c r="AB182" s="236">
        <f>Z182+X182</f>
        <v>0</v>
      </c>
      <c r="AC182" s="238"/>
      <c r="AD182" s="236">
        <f>AC182*E182</f>
        <v>0</v>
      </c>
      <c r="AE182" s="237">
        <f>AC182+AA182</f>
        <v>0</v>
      </c>
      <c r="AF182" s="236">
        <f>AD182+AB182</f>
        <v>0</v>
      </c>
      <c r="AG182" s="238"/>
      <c r="AH182" s="236">
        <f>AG182*E182</f>
        <v>0</v>
      </c>
      <c r="AI182" s="237">
        <f>AG182+AE182</f>
        <v>0</v>
      </c>
      <c r="AJ182" s="236">
        <f>AH182+AF182</f>
        <v>0</v>
      </c>
      <c r="AK182" s="238"/>
      <c r="AL182" s="236">
        <f>AK182*E182</f>
        <v>0</v>
      </c>
      <c r="AM182" s="237">
        <f>AK182+AI182</f>
        <v>0</v>
      </c>
      <c r="AN182" s="236">
        <f>AL182+AJ182</f>
        <v>0</v>
      </c>
      <c r="AO182" s="240"/>
      <c r="AP182" s="236">
        <f>AO182*E182</f>
        <v>0</v>
      </c>
    </row>
    <row r="183" spans="1:42" s="246" customFormat="1" ht="12.75" customHeight="1">
      <c r="A183" s="212"/>
      <c r="B183" s="213" t="s">
        <v>385</v>
      </c>
      <c r="C183" s="209"/>
      <c r="D183" s="16"/>
      <c r="E183" s="214"/>
      <c r="F183" s="52"/>
    </row>
    <row r="184" spans="1:42" s="246" customFormat="1" ht="12.75" customHeight="1">
      <c r="A184" s="212"/>
      <c r="B184" s="215"/>
      <c r="C184" s="209"/>
      <c r="D184" s="16"/>
      <c r="E184" s="214"/>
      <c r="F184" s="52"/>
    </row>
    <row r="185" spans="1:42" s="249" customFormat="1" ht="37.5">
      <c r="A185" s="216"/>
      <c r="B185" s="205" t="s">
        <v>386</v>
      </c>
      <c r="C185" s="99"/>
      <c r="D185" s="114"/>
      <c r="E185" s="114"/>
      <c r="F185" s="210"/>
      <c r="G185" s="248"/>
    </row>
    <row r="186" spans="1:42" s="247" customFormat="1" ht="12.75" customHeight="1">
      <c r="A186" s="204"/>
      <c r="B186" s="205"/>
      <c r="C186" s="209"/>
      <c r="D186" s="207"/>
      <c r="E186" s="207"/>
      <c r="F186" s="208"/>
    </row>
    <row r="187" spans="1:42" s="249" customFormat="1" ht="25">
      <c r="A187" s="41" t="s">
        <v>387</v>
      </c>
      <c r="B187" s="205" t="s">
        <v>388</v>
      </c>
      <c r="C187" s="99" t="s">
        <v>9</v>
      </c>
      <c r="D187" s="114">
        <v>20</v>
      </c>
      <c r="E187" s="114">
        <v>178500</v>
      </c>
      <c r="F187" s="210">
        <f>D187*E187</f>
        <v>3570000</v>
      </c>
      <c r="G187" s="248"/>
    </row>
    <row r="188" spans="1:42" s="246" customFormat="1" ht="12.75" customHeight="1">
      <c r="A188" s="217"/>
      <c r="B188" s="215"/>
      <c r="C188" s="209"/>
      <c r="D188" s="102"/>
      <c r="E188" s="214"/>
      <c r="F188" s="51"/>
    </row>
    <row r="189" spans="1:42" s="249" customFormat="1" ht="12.75" customHeight="1">
      <c r="A189" s="41" t="s">
        <v>389</v>
      </c>
      <c r="B189" s="218" t="s">
        <v>390</v>
      </c>
      <c r="C189" s="219" t="s">
        <v>2</v>
      </c>
      <c r="D189" s="16">
        <f>D187*0.4*1</f>
        <v>8</v>
      </c>
      <c r="E189" s="220">
        <v>80000</v>
      </c>
      <c r="F189" s="210">
        <f>D189*E189</f>
        <v>640000</v>
      </c>
      <c r="H189" s="249">
        <f>+(17)*1.5*1.5*0.1</f>
        <v>3.8250000000000002</v>
      </c>
    </row>
    <row r="190" spans="1:42" s="249" customFormat="1" ht="12.75" customHeight="1">
      <c r="A190" s="7"/>
      <c r="B190" s="218"/>
      <c r="C190" s="219"/>
      <c r="D190" s="16"/>
      <c r="E190" s="220"/>
      <c r="F190" s="210"/>
    </row>
    <row r="191" spans="1:42" ht="13">
      <c r="A191" s="6"/>
      <c r="B191" s="176" t="s">
        <v>391</v>
      </c>
      <c r="C191" s="116"/>
      <c r="D191" s="149"/>
      <c r="E191" s="150"/>
      <c r="F191" s="171"/>
    </row>
    <row r="192" spans="1:42">
      <c r="A192" s="6"/>
      <c r="B192" s="151"/>
      <c r="C192" s="116"/>
      <c r="D192" s="149"/>
      <c r="E192" s="150"/>
      <c r="F192" s="171"/>
    </row>
    <row r="193" spans="1:6" ht="26">
      <c r="A193" s="6"/>
      <c r="B193" s="152" t="s">
        <v>392</v>
      </c>
      <c r="C193" s="116"/>
      <c r="D193" s="149"/>
      <c r="E193" s="150"/>
      <c r="F193" s="171"/>
    </row>
    <row r="194" spans="1:6">
      <c r="A194" s="6"/>
      <c r="B194" s="151"/>
      <c r="C194" s="116"/>
      <c r="D194" s="149"/>
      <c r="E194" s="150"/>
      <c r="F194" s="171"/>
    </row>
    <row r="195" spans="1:6" ht="25">
      <c r="A195" s="6" t="s">
        <v>393</v>
      </c>
      <c r="B195" s="151" t="s">
        <v>394</v>
      </c>
      <c r="C195" s="116" t="s">
        <v>9</v>
      </c>
      <c r="D195" s="149">
        <v>30</v>
      </c>
      <c r="E195" s="150">
        <v>7000</v>
      </c>
      <c r="F195" s="171">
        <f>D195*E195</f>
        <v>210000</v>
      </c>
    </row>
    <row r="196" spans="1:6">
      <c r="A196" s="6"/>
      <c r="B196" s="151"/>
      <c r="C196" s="116"/>
      <c r="D196" s="149"/>
      <c r="E196" s="150"/>
      <c r="F196" s="171"/>
    </row>
    <row r="197" spans="1:6" ht="25">
      <c r="A197" s="6" t="s">
        <v>395</v>
      </c>
      <c r="B197" s="151" t="s">
        <v>396</v>
      </c>
      <c r="C197" s="116" t="s">
        <v>9</v>
      </c>
      <c r="D197" s="149">
        <f>24*10</f>
        <v>240</v>
      </c>
      <c r="E197" s="150">
        <v>3000</v>
      </c>
      <c r="F197" s="171">
        <f>D197*E197</f>
        <v>720000</v>
      </c>
    </row>
    <row r="198" spans="1:6">
      <c r="A198" s="5"/>
      <c r="B198" s="85"/>
      <c r="C198" s="57"/>
      <c r="D198" s="138"/>
      <c r="E198" s="118"/>
      <c r="F198" s="221"/>
    </row>
    <row r="199" spans="1:6" ht="13">
      <c r="A199" s="5"/>
      <c r="B199" s="222" t="s">
        <v>397</v>
      </c>
      <c r="C199" s="57"/>
      <c r="D199" s="138"/>
      <c r="E199" s="118"/>
      <c r="F199" s="221"/>
    </row>
    <row r="200" spans="1:6">
      <c r="A200" s="5"/>
      <c r="B200" s="85"/>
      <c r="C200" s="57"/>
      <c r="D200" s="138"/>
      <c r="E200" s="118"/>
      <c r="F200" s="221"/>
    </row>
    <row r="201" spans="1:6" ht="26">
      <c r="A201" s="5"/>
      <c r="B201" s="88" t="s">
        <v>398</v>
      </c>
      <c r="C201" s="57"/>
      <c r="D201" s="138"/>
      <c r="E201" s="118"/>
      <c r="F201" s="221"/>
    </row>
    <row r="202" spans="1:6" ht="13">
      <c r="A202" s="5"/>
      <c r="B202" s="222"/>
      <c r="C202" s="57"/>
      <c r="D202" s="138"/>
      <c r="E202" s="118"/>
      <c r="F202" s="221"/>
    </row>
    <row r="203" spans="1:6">
      <c r="A203" s="5" t="s">
        <v>399</v>
      </c>
      <c r="B203" s="85" t="s">
        <v>400</v>
      </c>
      <c r="C203" s="57" t="s">
        <v>10</v>
      </c>
      <c r="D203" s="138">
        <f>D14/500</f>
        <v>10.42</v>
      </c>
      <c r="E203" s="118">
        <v>3000</v>
      </c>
      <c r="F203" s="171">
        <f>D203*E203</f>
        <v>31260</v>
      </c>
    </row>
    <row r="204" spans="1:6" ht="13">
      <c r="A204" s="5"/>
      <c r="B204" s="222"/>
      <c r="C204" s="57"/>
      <c r="D204" s="138"/>
      <c r="E204" s="118"/>
      <c r="F204" s="171"/>
    </row>
    <row r="205" spans="1:6">
      <c r="A205" s="5" t="s">
        <v>401</v>
      </c>
      <c r="B205" s="85" t="s">
        <v>402</v>
      </c>
      <c r="C205" s="57" t="s">
        <v>10</v>
      </c>
      <c r="D205" s="138">
        <f>'[34]7. Katelembu Transmission main'!D148</f>
        <v>4</v>
      </c>
      <c r="E205" s="118">
        <v>3000</v>
      </c>
      <c r="F205" s="171">
        <f>D205*E205</f>
        <v>12000</v>
      </c>
    </row>
    <row r="206" spans="1:6" ht="13">
      <c r="A206" s="5"/>
      <c r="B206" s="222"/>
      <c r="C206" s="57"/>
      <c r="D206" s="138"/>
      <c r="E206" s="118"/>
      <c r="F206" s="171"/>
    </row>
    <row r="207" spans="1:6">
      <c r="A207" s="5" t="s">
        <v>403</v>
      </c>
      <c r="B207" s="85" t="s">
        <v>404</v>
      </c>
      <c r="C207" s="57" t="s">
        <v>10</v>
      </c>
      <c r="D207" s="138">
        <f>'[34]TAKE OFF sHEET'!B19+'[34]TAKE OFF sHEET'!B17</f>
        <v>3</v>
      </c>
      <c r="E207" s="118">
        <v>3000</v>
      </c>
      <c r="F207" s="171">
        <f>D207*E207</f>
        <v>9000</v>
      </c>
    </row>
    <row r="208" spans="1:6" ht="13">
      <c r="A208" s="5"/>
      <c r="B208" s="222"/>
      <c r="C208" s="57"/>
      <c r="D208" s="138"/>
      <c r="E208" s="118"/>
      <c r="F208" s="171"/>
    </row>
    <row r="209" spans="1:42" ht="39">
      <c r="A209" s="1"/>
      <c r="B209" s="87" t="s">
        <v>28</v>
      </c>
      <c r="C209" s="57"/>
      <c r="D209" s="138"/>
      <c r="E209" s="118"/>
      <c r="F209" s="171"/>
    </row>
    <row r="210" spans="1:42">
      <c r="A210" s="5"/>
      <c r="B210" s="85"/>
      <c r="C210" s="57"/>
      <c r="D210" s="138"/>
      <c r="E210" s="118"/>
      <c r="F210" s="171"/>
    </row>
    <row r="211" spans="1:42" s="134" customFormat="1">
      <c r="A211" s="179"/>
      <c r="B211" s="190" t="s">
        <v>405</v>
      </c>
      <c r="C211" s="181"/>
      <c r="D211" s="182"/>
      <c r="E211" s="183"/>
      <c r="F211" s="166"/>
      <c r="G211" s="242"/>
      <c r="H211" s="239"/>
      <c r="I211" s="238"/>
      <c r="J211" s="239"/>
      <c r="K211" s="238"/>
      <c r="L211" s="239"/>
      <c r="M211" s="238"/>
      <c r="N211" s="239"/>
      <c r="O211" s="238"/>
      <c r="P211" s="239"/>
      <c r="Q211" s="238"/>
      <c r="R211" s="239"/>
      <c r="S211" s="238"/>
      <c r="T211" s="236"/>
      <c r="U211" s="238"/>
      <c r="V211" s="239"/>
      <c r="W211" s="238"/>
      <c r="X211" s="236"/>
      <c r="Y211" s="238"/>
      <c r="Z211" s="239"/>
      <c r="AA211" s="237">
        <f>Y211+W211</f>
        <v>0</v>
      </c>
      <c r="AB211" s="236"/>
      <c r="AC211" s="238"/>
      <c r="AD211" s="236">
        <f>AC211*E211</f>
        <v>0</v>
      </c>
      <c r="AE211" s="237">
        <f>AC211+AA211</f>
        <v>0</v>
      </c>
      <c r="AF211" s="236"/>
      <c r="AG211" s="238"/>
      <c r="AH211" s="236">
        <f>AG211*E211</f>
        <v>0</v>
      </c>
      <c r="AI211" s="237">
        <f>AG211+AE211</f>
        <v>0</v>
      </c>
      <c r="AJ211" s="236"/>
      <c r="AK211" s="238"/>
      <c r="AL211" s="236">
        <f>AK211*E211</f>
        <v>0</v>
      </c>
      <c r="AM211" s="237">
        <f>AK211+AI211</f>
        <v>0</v>
      </c>
      <c r="AN211" s="236"/>
      <c r="AO211" s="240"/>
      <c r="AP211" s="236">
        <f>AO211*E211</f>
        <v>0</v>
      </c>
    </row>
    <row r="212" spans="1:42" s="134" customFormat="1">
      <c r="A212" s="185"/>
      <c r="B212" s="188"/>
      <c r="C212" s="181"/>
      <c r="D212" s="182"/>
      <c r="E212" s="187"/>
      <c r="F212" s="184"/>
      <c r="G212" s="242"/>
      <c r="H212" s="239"/>
      <c r="I212" s="238"/>
      <c r="J212" s="239"/>
      <c r="K212" s="238"/>
      <c r="L212" s="239"/>
      <c r="M212" s="238"/>
      <c r="N212" s="239"/>
      <c r="O212" s="238"/>
      <c r="P212" s="239"/>
      <c r="Q212" s="238"/>
      <c r="R212" s="239"/>
      <c r="S212" s="238"/>
      <c r="T212" s="236"/>
      <c r="U212" s="238"/>
      <c r="V212" s="239"/>
      <c r="W212" s="238"/>
      <c r="X212" s="236"/>
      <c r="Y212" s="238"/>
      <c r="Z212" s="239"/>
      <c r="AA212" s="237">
        <f>Y212+W212</f>
        <v>0</v>
      </c>
      <c r="AB212" s="236"/>
      <c r="AC212" s="238"/>
      <c r="AD212" s="236">
        <f>AC212*E212</f>
        <v>0</v>
      </c>
      <c r="AE212" s="237">
        <f>AC212+AA212</f>
        <v>0</v>
      </c>
      <c r="AF212" s="236"/>
      <c r="AG212" s="238"/>
      <c r="AH212" s="236">
        <f>AG212*E212</f>
        <v>0</v>
      </c>
      <c r="AI212" s="237">
        <f>AG212+AE212</f>
        <v>0</v>
      </c>
      <c r="AJ212" s="236"/>
      <c r="AK212" s="238"/>
      <c r="AL212" s="236">
        <f>AK212*E212</f>
        <v>0</v>
      </c>
      <c r="AM212" s="237">
        <f>AK212+AI212</f>
        <v>0</v>
      </c>
      <c r="AN212" s="236"/>
      <c r="AO212" s="240"/>
      <c r="AP212" s="236">
        <f>AO212*E212</f>
        <v>0</v>
      </c>
    </row>
    <row r="213" spans="1:42" s="134" customFormat="1" ht="25">
      <c r="A213" s="185" t="s">
        <v>406</v>
      </c>
      <c r="B213" s="199" t="s">
        <v>407</v>
      </c>
      <c r="C213" s="186" t="s">
        <v>2</v>
      </c>
      <c r="D213" s="182">
        <f>D14*1*0.9*0.8</f>
        <v>3751.2000000000003</v>
      </c>
      <c r="E213" s="187">
        <v>2500</v>
      </c>
      <c r="F213" s="170">
        <f>D213*E213</f>
        <v>9378000</v>
      </c>
      <c r="G213" s="242"/>
      <c r="H213" s="239"/>
      <c r="I213" s="238"/>
      <c r="J213" s="239"/>
      <c r="K213" s="238"/>
      <c r="L213" s="239"/>
      <c r="M213" s="238"/>
      <c r="N213" s="239"/>
      <c r="O213" s="238">
        <v>400</v>
      </c>
      <c r="P213" s="239">
        <f>O213*E213</f>
        <v>1000000</v>
      </c>
      <c r="Q213" s="238">
        <v>0</v>
      </c>
      <c r="R213" s="239">
        <v>0</v>
      </c>
      <c r="S213" s="238">
        <f>Q213+O213</f>
        <v>400</v>
      </c>
      <c r="T213" s="236">
        <f>R213+P213</f>
        <v>1000000</v>
      </c>
      <c r="U213" s="238">
        <v>760</v>
      </c>
      <c r="V213" s="239">
        <f>U213*E213</f>
        <v>1900000</v>
      </c>
      <c r="W213" s="238">
        <f>U213+S213</f>
        <v>1160</v>
      </c>
      <c r="X213" s="236">
        <f>V213+T213</f>
        <v>2900000</v>
      </c>
      <c r="Y213" s="238"/>
      <c r="Z213" s="239">
        <f>Y213*I213</f>
        <v>0</v>
      </c>
      <c r="AA213" s="237">
        <f>Y213+W213</f>
        <v>1160</v>
      </c>
      <c r="AB213" s="236">
        <f>Z213+X213</f>
        <v>2900000</v>
      </c>
      <c r="AC213" s="238"/>
      <c r="AD213" s="236">
        <f>AC213*E213</f>
        <v>0</v>
      </c>
      <c r="AE213" s="237">
        <f>AC213+AA213</f>
        <v>1160</v>
      </c>
      <c r="AF213" s="236">
        <f>AD213+AB213</f>
        <v>2900000</v>
      </c>
      <c r="AG213" s="238"/>
      <c r="AH213" s="236">
        <f>AG213*E213</f>
        <v>0</v>
      </c>
      <c r="AI213" s="237">
        <f>AG213+AE213</f>
        <v>1160</v>
      </c>
      <c r="AJ213" s="236">
        <f>AH213+AF213</f>
        <v>2900000</v>
      </c>
      <c r="AK213" s="238"/>
      <c r="AL213" s="236">
        <f>AK213*E213</f>
        <v>0</v>
      </c>
      <c r="AM213" s="237">
        <f>AK213+AI213</f>
        <v>1160</v>
      </c>
      <c r="AN213" s="236">
        <f>AL213+AJ213</f>
        <v>2900000</v>
      </c>
      <c r="AO213" s="240"/>
      <c r="AP213" s="236">
        <f>AO213*E213</f>
        <v>0</v>
      </c>
    </row>
    <row r="214" spans="1:42" s="134" customFormat="1">
      <c r="A214" s="185"/>
      <c r="B214" s="199"/>
      <c r="C214" s="186"/>
      <c r="D214" s="182"/>
      <c r="E214" s="187"/>
      <c r="F214" s="170"/>
      <c r="G214" s="242"/>
      <c r="H214" s="239"/>
      <c r="I214" s="238"/>
      <c r="J214" s="239"/>
      <c r="K214" s="238"/>
      <c r="L214" s="239"/>
      <c r="M214" s="238"/>
      <c r="N214" s="239"/>
      <c r="O214" s="238"/>
      <c r="P214" s="239"/>
      <c r="Q214" s="238"/>
      <c r="R214" s="239"/>
      <c r="S214" s="238"/>
      <c r="T214" s="236"/>
      <c r="U214" s="238"/>
      <c r="V214" s="239"/>
      <c r="W214" s="238"/>
      <c r="X214" s="236"/>
      <c r="Y214" s="238"/>
      <c r="Z214" s="239"/>
      <c r="AA214" s="237"/>
      <c r="AB214" s="236"/>
      <c r="AC214" s="238"/>
      <c r="AD214" s="236"/>
      <c r="AE214" s="237"/>
      <c r="AF214" s="236"/>
      <c r="AG214" s="238"/>
      <c r="AH214" s="236"/>
      <c r="AI214" s="237"/>
      <c r="AJ214" s="236"/>
      <c r="AK214" s="238"/>
      <c r="AL214" s="236"/>
      <c r="AM214" s="237"/>
      <c r="AN214" s="236"/>
      <c r="AO214" s="240"/>
      <c r="AP214" s="236"/>
    </row>
    <row r="215" spans="1:42" s="134" customFormat="1" ht="25">
      <c r="A215" s="185" t="s">
        <v>408</v>
      </c>
      <c r="B215" s="199" t="s">
        <v>409</v>
      </c>
      <c r="C215" s="186" t="s">
        <v>2</v>
      </c>
      <c r="D215" s="182">
        <f>1.5*2*3*(D163+D167)</f>
        <v>81</v>
      </c>
      <c r="E215" s="187">
        <v>2500</v>
      </c>
      <c r="F215" s="170">
        <f>D215*E215</f>
        <v>202500</v>
      </c>
      <c r="G215" s="242"/>
      <c r="H215" s="239"/>
      <c r="I215" s="238"/>
      <c r="J215" s="239"/>
      <c r="K215" s="238"/>
      <c r="L215" s="239"/>
      <c r="M215" s="238"/>
      <c r="N215" s="239"/>
      <c r="O215" s="238">
        <v>400</v>
      </c>
      <c r="P215" s="239">
        <f>O215*E215</f>
        <v>1000000</v>
      </c>
      <c r="Q215" s="238">
        <v>0</v>
      </c>
      <c r="R215" s="239">
        <v>0</v>
      </c>
      <c r="S215" s="238">
        <f>Q215+O215</f>
        <v>400</v>
      </c>
      <c r="T215" s="236">
        <f>R215+P215</f>
        <v>1000000</v>
      </c>
      <c r="U215" s="238">
        <v>760</v>
      </c>
      <c r="V215" s="239">
        <f>U215*E215</f>
        <v>1900000</v>
      </c>
      <c r="W215" s="238">
        <f>U215+S215</f>
        <v>1160</v>
      </c>
      <c r="X215" s="236">
        <f>V215+T215</f>
        <v>2900000</v>
      </c>
      <c r="Y215" s="238"/>
      <c r="Z215" s="239">
        <f>Y215*I215</f>
        <v>0</v>
      </c>
      <c r="AA215" s="237">
        <f>Y215+W215</f>
        <v>1160</v>
      </c>
      <c r="AB215" s="236">
        <f>Z215+X215</f>
        <v>2900000</v>
      </c>
      <c r="AC215" s="238"/>
      <c r="AD215" s="236">
        <f>AC215*E215</f>
        <v>0</v>
      </c>
      <c r="AE215" s="237">
        <f>AC215+AA215</f>
        <v>1160</v>
      </c>
      <c r="AF215" s="236">
        <f>AD215+AB215</f>
        <v>2900000</v>
      </c>
      <c r="AG215" s="238"/>
      <c r="AH215" s="236">
        <f>AG215*E215</f>
        <v>0</v>
      </c>
      <c r="AI215" s="237">
        <f>AG215+AE215</f>
        <v>1160</v>
      </c>
      <c r="AJ215" s="236">
        <f>AH215+AF215</f>
        <v>2900000</v>
      </c>
      <c r="AK215" s="238"/>
      <c r="AL215" s="236">
        <f>AK215*E215</f>
        <v>0</v>
      </c>
      <c r="AM215" s="237">
        <f>AK215+AI215</f>
        <v>1160</v>
      </c>
      <c r="AN215" s="236">
        <f>AL215+AJ215</f>
        <v>2900000</v>
      </c>
      <c r="AO215" s="240"/>
      <c r="AP215" s="236">
        <f>AO215*E215</f>
        <v>0</v>
      </c>
    </row>
    <row r="216" spans="1:42">
      <c r="A216" s="5"/>
      <c r="B216" s="85"/>
      <c r="C216" s="57"/>
      <c r="D216" s="138"/>
      <c r="E216" s="118"/>
      <c r="F216" s="171"/>
    </row>
    <row r="217" spans="1:42" ht="13" thickBot="1">
      <c r="A217" s="5"/>
      <c r="B217" s="85"/>
      <c r="C217" s="57"/>
      <c r="D217" s="138"/>
      <c r="E217" s="118"/>
      <c r="F217" s="171"/>
    </row>
    <row r="218" spans="1:42" s="3" customFormat="1" ht="13" thickTop="1">
      <c r="A218" s="15"/>
      <c r="B218" s="10"/>
      <c r="C218" s="104"/>
      <c r="D218" s="119"/>
      <c r="E218" s="105"/>
      <c r="F218" s="80"/>
    </row>
    <row r="219" spans="1:42" s="3" customFormat="1" ht="13">
      <c r="A219" s="106"/>
      <c r="B219" s="107" t="s">
        <v>301</v>
      </c>
      <c r="C219" s="108"/>
      <c r="D219" s="120"/>
      <c r="E219" s="109"/>
      <c r="F219" s="75">
        <f>SUM(F157:F218)</f>
        <v>16329010</v>
      </c>
    </row>
    <row r="220" spans="1:42" s="3" customFormat="1" ht="13" thickBot="1">
      <c r="A220" s="12"/>
      <c r="B220" s="110"/>
      <c r="C220" s="111"/>
      <c r="D220" s="122"/>
      <c r="E220" s="112"/>
      <c r="F220" s="82"/>
    </row>
    <row r="221" spans="1:42" ht="13.5" thickTop="1">
      <c r="A221" s="197"/>
      <c r="B221" s="1544"/>
      <c r="C221" s="1544"/>
      <c r="D221" s="1544"/>
      <c r="E221" s="1544"/>
      <c r="F221" s="198"/>
    </row>
    <row r="222" spans="1:42" ht="12.75" customHeight="1">
      <c r="A222" s="1542" t="s">
        <v>438</v>
      </c>
      <c r="B222" s="1542"/>
      <c r="C222" s="1542"/>
      <c r="D222" s="1542"/>
      <c r="E222" s="1542"/>
      <c r="F222" s="1542"/>
    </row>
    <row r="223" spans="1:42" ht="13" thickBot="1">
      <c r="A223" s="9"/>
      <c r="D223" s="127"/>
      <c r="E223" s="128"/>
    </row>
    <row r="224" spans="1:42" ht="27" thickTop="1" thickBot="1">
      <c r="A224" s="13" t="s">
        <v>4</v>
      </c>
      <c r="B224" s="129" t="s">
        <v>5</v>
      </c>
      <c r="C224" s="129" t="s">
        <v>6</v>
      </c>
      <c r="D224" s="130" t="s">
        <v>1</v>
      </c>
      <c r="E224" s="131" t="s">
        <v>7</v>
      </c>
      <c r="F224" s="76" t="s">
        <v>8</v>
      </c>
    </row>
    <row r="225" spans="1:42" ht="13" thickTop="1">
      <c r="A225" s="6"/>
      <c r="B225" s="151"/>
      <c r="C225" s="116"/>
      <c r="D225" s="149"/>
      <c r="E225" s="150"/>
      <c r="F225" s="153"/>
    </row>
    <row r="226" spans="1:42" s="134" customFormat="1">
      <c r="A226" s="179"/>
      <c r="B226" s="190" t="s">
        <v>410</v>
      </c>
      <c r="C226" s="181"/>
      <c r="D226" s="182"/>
      <c r="E226" s="183"/>
      <c r="F226" s="166"/>
      <c r="G226" s="242"/>
      <c r="H226" s="239"/>
      <c r="I226" s="238"/>
      <c r="J226" s="239"/>
      <c r="K226" s="238"/>
      <c r="L226" s="239"/>
      <c r="M226" s="238"/>
      <c r="N226" s="239"/>
      <c r="O226" s="238"/>
      <c r="P226" s="239"/>
      <c r="Q226" s="238"/>
      <c r="R226" s="239"/>
      <c r="S226" s="238"/>
      <c r="T226" s="236">
        <f t="shared" ref="T226:T232" si="52">R226+P226</f>
        <v>0</v>
      </c>
      <c r="U226" s="238"/>
      <c r="V226" s="239"/>
      <c r="W226" s="238"/>
      <c r="X226" s="236">
        <f t="shared" ref="X226:X232" si="53">V226+T226</f>
        <v>0</v>
      </c>
      <c r="Y226" s="238"/>
      <c r="Z226" s="239"/>
      <c r="AA226" s="237">
        <f t="shared" ref="AA226:AB232" si="54">Y226+W226</f>
        <v>0</v>
      </c>
      <c r="AB226" s="236">
        <f t="shared" si="54"/>
        <v>0</v>
      </c>
      <c r="AC226" s="238"/>
      <c r="AD226" s="236">
        <f t="shared" ref="AD226:AD232" si="55">AC226*E226</f>
        <v>0</v>
      </c>
      <c r="AE226" s="237">
        <f t="shared" ref="AE226:AF232" si="56">AC226+AA226</f>
        <v>0</v>
      </c>
      <c r="AF226" s="236">
        <f t="shared" si="56"/>
        <v>0</v>
      </c>
      <c r="AG226" s="238"/>
      <c r="AH226" s="236">
        <f t="shared" ref="AH226:AH232" si="57">AG226*E226</f>
        <v>0</v>
      </c>
      <c r="AI226" s="237">
        <f t="shared" ref="AI226:AJ232" si="58">AG226+AE226</f>
        <v>0</v>
      </c>
      <c r="AJ226" s="236">
        <f t="shared" si="58"/>
        <v>0</v>
      </c>
      <c r="AK226" s="238"/>
      <c r="AL226" s="236">
        <f t="shared" ref="AL226:AL232" si="59">AK226*E226</f>
        <v>0</v>
      </c>
      <c r="AM226" s="237">
        <f t="shared" ref="AM226:AN232" si="60">AK226+AI226</f>
        <v>0</v>
      </c>
      <c r="AN226" s="236">
        <f t="shared" si="60"/>
        <v>0</v>
      </c>
      <c r="AO226" s="240"/>
      <c r="AP226" s="236">
        <f t="shared" ref="AP226:AP232" si="61">AO226*E226</f>
        <v>0</v>
      </c>
    </row>
    <row r="227" spans="1:42" s="134" customFormat="1">
      <c r="A227" s="185"/>
      <c r="B227" s="146"/>
      <c r="C227" s="181"/>
      <c r="D227" s="182"/>
      <c r="E227" s="183"/>
      <c r="F227" s="166"/>
      <c r="G227" s="242"/>
      <c r="H227" s="239"/>
      <c r="I227" s="238"/>
      <c r="J227" s="239"/>
      <c r="K227" s="238"/>
      <c r="L227" s="239"/>
      <c r="M227" s="238"/>
      <c r="N227" s="239"/>
      <c r="O227" s="238"/>
      <c r="P227" s="239"/>
      <c r="Q227" s="238"/>
      <c r="R227" s="239"/>
      <c r="S227" s="238"/>
      <c r="T227" s="236">
        <f t="shared" si="52"/>
        <v>0</v>
      </c>
      <c r="U227" s="238"/>
      <c r="V227" s="239"/>
      <c r="W227" s="238"/>
      <c r="X227" s="236">
        <f t="shared" si="53"/>
        <v>0</v>
      </c>
      <c r="Y227" s="238"/>
      <c r="Z227" s="239"/>
      <c r="AA227" s="237">
        <f t="shared" si="54"/>
        <v>0</v>
      </c>
      <c r="AB227" s="236">
        <f t="shared" si="54"/>
        <v>0</v>
      </c>
      <c r="AC227" s="238"/>
      <c r="AD227" s="236">
        <f t="shared" si="55"/>
        <v>0</v>
      </c>
      <c r="AE227" s="237">
        <f t="shared" si="56"/>
        <v>0</v>
      </c>
      <c r="AF227" s="236">
        <f t="shared" si="56"/>
        <v>0</v>
      </c>
      <c r="AG227" s="238"/>
      <c r="AH227" s="236">
        <f t="shared" si="57"/>
        <v>0</v>
      </c>
      <c r="AI227" s="237">
        <f t="shared" si="58"/>
        <v>0</v>
      </c>
      <c r="AJ227" s="236">
        <f t="shared" si="58"/>
        <v>0</v>
      </c>
      <c r="AK227" s="238"/>
      <c r="AL227" s="236">
        <f t="shared" si="59"/>
        <v>0</v>
      </c>
      <c r="AM227" s="237">
        <f t="shared" si="60"/>
        <v>0</v>
      </c>
      <c r="AN227" s="236">
        <f t="shared" si="60"/>
        <v>0</v>
      </c>
      <c r="AO227" s="240"/>
      <c r="AP227" s="236">
        <f t="shared" si="61"/>
        <v>0</v>
      </c>
    </row>
    <row r="228" spans="1:42" s="134" customFormat="1" ht="25">
      <c r="A228" s="185" t="s">
        <v>411</v>
      </c>
      <c r="B228" s="189" t="s">
        <v>412</v>
      </c>
      <c r="C228" s="186" t="s">
        <v>9</v>
      </c>
      <c r="D228" s="182">
        <v>3950</v>
      </c>
      <c r="E228" s="187">
        <v>505</v>
      </c>
      <c r="F228" s="170">
        <f>D228*E228</f>
        <v>1994750</v>
      </c>
      <c r="G228" s="242"/>
      <c r="H228" s="239"/>
      <c r="I228" s="238">
        <v>2000</v>
      </c>
      <c r="J228" s="239">
        <f>E228*I228</f>
        <v>1010000</v>
      </c>
      <c r="K228" s="238">
        <f>I228+G228</f>
        <v>2000</v>
      </c>
      <c r="L228" s="239">
        <f>J228+H228</f>
        <v>1010000</v>
      </c>
      <c r="M228" s="238">
        <v>5500</v>
      </c>
      <c r="N228" s="239">
        <f>M228*E228</f>
        <v>2777500</v>
      </c>
      <c r="O228" s="238">
        <f>M228+K228</f>
        <v>7500</v>
      </c>
      <c r="P228" s="239">
        <f>O228*E228</f>
        <v>3787500</v>
      </c>
      <c r="Q228" s="238">
        <v>1800</v>
      </c>
      <c r="R228" s="239">
        <f>Q228*E228</f>
        <v>909000</v>
      </c>
      <c r="S228" s="238">
        <f>Q228+O228</f>
        <v>9300</v>
      </c>
      <c r="T228" s="236">
        <f t="shared" si="52"/>
        <v>4696500</v>
      </c>
      <c r="U228" s="238"/>
      <c r="V228" s="239">
        <f>U228*I228</f>
        <v>0</v>
      </c>
      <c r="W228" s="238">
        <f>U228+S228</f>
        <v>9300</v>
      </c>
      <c r="X228" s="236">
        <f t="shared" si="53"/>
        <v>4696500</v>
      </c>
      <c r="Y228" s="238">
        <v>0</v>
      </c>
      <c r="Z228" s="239">
        <f>Y228*E228</f>
        <v>0</v>
      </c>
      <c r="AA228" s="237">
        <f t="shared" si="54"/>
        <v>9300</v>
      </c>
      <c r="AB228" s="236">
        <f t="shared" si="54"/>
        <v>4696500</v>
      </c>
      <c r="AC228" s="238"/>
      <c r="AD228" s="236">
        <f t="shared" si="55"/>
        <v>0</v>
      </c>
      <c r="AE228" s="237">
        <f t="shared" si="56"/>
        <v>9300</v>
      </c>
      <c r="AF228" s="236">
        <f t="shared" si="56"/>
        <v>4696500</v>
      </c>
      <c r="AG228" s="238"/>
      <c r="AH228" s="236">
        <f t="shared" si="57"/>
        <v>0</v>
      </c>
      <c r="AI228" s="237">
        <f t="shared" si="58"/>
        <v>9300</v>
      </c>
      <c r="AJ228" s="236">
        <f t="shared" si="58"/>
        <v>4696500</v>
      </c>
      <c r="AK228" s="238"/>
      <c r="AL228" s="236">
        <f t="shared" si="59"/>
        <v>0</v>
      </c>
      <c r="AM228" s="237">
        <f t="shared" si="60"/>
        <v>9300</v>
      </c>
      <c r="AN228" s="236">
        <f t="shared" si="60"/>
        <v>4696500</v>
      </c>
      <c r="AO228" s="240">
        <v>460</v>
      </c>
      <c r="AP228" s="236">
        <f t="shared" si="61"/>
        <v>232300</v>
      </c>
    </row>
    <row r="229" spans="1:42" s="134" customFormat="1">
      <c r="A229" s="185"/>
      <c r="B229" s="189"/>
      <c r="C229" s="181"/>
      <c r="D229" s="182"/>
      <c r="E229" s="183"/>
      <c r="F229" s="166"/>
      <c r="G229" s="242"/>
      <c r="H229" s="239"/>
      <c r="I229" s="238"/>
      <c r="J229" s="239"/>
      <c r="K229" s="238"/>
      <c r="L229" s="239"/>
      <c r="M229" s="238"/>
      <c r="N229" s="239"/>
      <c r="O229" s="238"/>
      <c r="P229" s="239"/>
      <c r="Q229" s="238"/>
      <c r="R229" s="239"/>
      <c r="S229" s="238"/>
      <c r="T229" s="236">
        <f t="shared" si="52"/>
        <v>0</v>
      </c>
      <c r="U229" s="238"/>
      <c r="V229" s="239"/>
      <c r="W229" s="238"/>
      <c r="X229" s="236">
        <f t="shared" si="53"/>
        <v>0</v>
      </c>
      <c r="Y229" s="238"/>
      <c r="Z229" s="239"/>
      <c r="AA229" s="237">
        <f t="shared" si="54"/>
        <v>0</v>
      </c>
      <c r="AB229" s="236">
        <f t="shared" si="54"/>
        <v>0</v>
      </c>
      <c r="AC229" s="238"/>
      <c r="AD229" s="236">
        <f t="shared" si="55"/>
        <v>0</v>
      </c>
      <c r="AE229" s="237">
        <f t="shared" si="56"/>
        <v>0</v>
      </c>
      <c r="AF229" s="236">
        <f t="shared" si="56"/>
        <v>0</v>
      </c>
      <c r="AG229" s="238"/>
      <c r="AH229" s="236">
        <f t="shared" si="57"/>
        <v>0</v>
      </c>
      <c r="AI229" s="237">
        <f t="shared" si="58"/>
        <v>0</v>
      </c>
      <c r="AJ229" s="236">
        <f t="shared" si="58"/>
        <v>0</v>
      </c>
      <c r="AK229" s="238"/>
      <c r="AL229" s="236">
        <f t="shared" si="59"/>
        <v>0</v>
      </c>
      <c r="AM229" s="237">
        <f t="shared" si="60"/>
        <v>0</v>
      </c>
      <c r="AN229" s="236">
        <f t="shared" si="60"/>
        <v>0</v>
      </c>
      <c r="AO229" s="240"/>
      <c r="AP229" s="236">
        <f t="shared" si="61"/>
        <v>0</v>
      </c>
    </row>
    <row r="230" spans="1:42" s="134" customFormat="1" ht="25">
      <c r="A230" s="185" t="s">
        <v>413</v>
      </c>
      <c r="B230" s="189" t="s">
        <v>414</v>
      </c>
      <c r="C230" s="186" t="s">
        <v>9</v>
      </c>
      <c r="D230" s="182">
        <v>1210</v>
      </c>
      <c r="E230" s="187">
        <v>1075</v>
      </c>
      <c r="F230" s="170">
        <f>D230*E230</f>
        <v>1300750</v>
      </c>
      <c r="G230" s="242"/>
      <c r="H230" s="239"/>
      <c r="I230" s="238"/>
      <c r="J230" s="239"/>
      <c r="K230" s="238"/>
      <c r="L230" s="239"/>
      <c r="M230" s="238"/>
      <c r="N230" s="239"/>
      <c r="O230" s="238"/>
      <c r="P230" s="239"/>
      <c r="Q230" s="238">
        <v>2080</v>
      </c>
      <c r="R230" s="239">
        <f>Q230*E230</f>
        <v>2236000</v>
      </c>
      <c r="S230" s="238">
        <f>Q230+O230</f>
        <v>2080</v>
      </c>
      <c r="T230" s="236">
        <f t="shared" si="52"/>
        <v>2236000</v>
      </c>
      <c r="U230" s="238">
        <v>1680</v>
      </c>
      <c r="V230" s="239">
        <f>U230*E230</f>
        <v>1806000</v>
      </c>
      <c r="W230" s="238">
        <f>U230+S230</f>
        <v>3760</v>
      </c>
      <c r="X230" s="236">
        <f t="shared" si="53"/>
        <v>4042000</v>
      </c>
      <c r="Y230" s="238">
        <v>2000</v>
      </c>
      <c r="Z230" s="239">
        <f>Y230*E230</f>
        <v>2150000</v>
      </c>
      <c r="AA230" s="237">
        <f t="shared" si="54"/>
        <v>5760</v>
      </c>
      <c r="AB230" s="236">
        <f t="shared" si="54"/>
        <v>6192000</v>
      </c>
      <c r="AC230" s="238">
        <v>2500</v>
      </c>
      <c r="AD230" s="236">
        <f t="shared" si="55"/>
        <v>2687500</v>
      </c>
      <c r="AE230" s="237">
        <f t="shared" si="56"/>
        <v>8260</v>
      </c>
      <c r="AF230" s="236">
        <f t="shared" si="56"/>
        <v>8879500</v>
      </c>
      <c r="AG230" s="238" t="e">
        <f>#REF!</f>
        <v>#REF!</v>
      </c>
      <c r="AH230" s="236" t="e">
        <f t="shared" si="57"/>
        <v>#REF!</v>
      </c>
      <c r="AI230" s="237" t="e">
        <f t="shared" si="58"/>
        <v>#REF!</v>
      </c>
      <c r="AJ230" s="236" t="e">
        <f t="shared" si="58"/>
        <v>#REF!</v>
      </c>
      <c r="AK230" s="238" t="e">
        <f>#REF!</f>
        <v>#REF!</v>
      </c>
      <c r="AL230" s="236" t="e">
        <f t="shared" si="59"/>
        <v>#REF!</v>
      </c>
      <c r="AM230" s="237" t="e">
        <f t="shared" si="60"/>
        <v>#REF!</v>
      </c>
      <c r="AN230" s="236" t="e">
        <f t="shared" si="60"/>
        <v>#REF!</v>
      </c>
      <c r="AO230" s="240"/>
      <c r="AP230" s="236">
        <f t="shared" si="61"/>
        <v>0</v>
      </c>
    </row>
    <row r="231" spans="1:42" s="134" customFormat="1">
      <c r="A231" s="185"/>
      <c r="B231" s="188"/>
      <c r="C231" s="181"/>
      <c r="D231" s="182"/>
      <c r="E231" s="183"/>
      <c r="F231" s="166"/>
      <c r="G231" s="242"/>
      <c r="H231" s="239"/>
      <c r="I231" s="238"/>
      <c r="J231" s="239"/>
      <c r="K231" s="238"/>
      <c r="L231" s="239"/>
      <c r="M231" s="238"/>
      <c r="N231" s="239"/>
      <c r="O231" s="238"/>
      <c r="P231" s="239"/>
      <c r="Q231" s="238"/>
      <c r="R231" s="239"/>
      <c r="S231" s="238"/>
      <c r="T231" s="236">
        <f t="shared" si="52"/>
        <v>0</v>
      </c>
      <c r="U231" s="238"/>
      <c r="V231" s="239"/>
      <c r="W231" s="238"/>
      <c r="X231" s="236">
        <f t="shared" si="53"/>
        <v>0</v>
      </c>
      <c r="Y231" s="238"/>
      <c r="Z231" s="239"/>
      <c r="AA231" s="237">
        <f t="shared" si="54"/>
        <v>0</v>
      </c>
      <c r="AB231" s="236">
        <f t="shared" si="54"/>
        <v>0</v>
      </c>
      <c r="AC231" s="238"/>
      <c r="AD231" s="236">
        <f t="shared" si="55"/>
        <v>0</v>
      </c>
      <c r="AE231" s="237">
        <f t="shared" si="56"/>
        <v>0</v>
      </c>
      <c r="AF231" s="236">
        <f t="shared" si="56"/>
        <v>0</v>
      </c>
      <c r="AG231" s="238"/>
      <c r="AH231" s="236">
        <f t="shared" si="57"/>
        <v>0</v>
      </c>
      <c r="AI231" s="237">
        <f t="shared" si="58"/>
        <v>0</v>
      </c>
      <c r="AJ231" s="236">
        <f t="shared" si="58"/>
        <v>0</v>
      </c>
      <c r="AK231" s="238"/>
      <c r="AL231" s="236">
        <f t="shared" si="59"/>
        <v>0</v>
      </c>
      <c r="AM231" s="237">
        <f t="shared" si="60"/>
        <v>0</v>
      </c>
      <c r="AN231" s="236">
        <f t="shared" si="60"/>
        <v>0</v>
      </c>
      <c r="AO231" s="240"/>
      <c r="AP231" s="236">
        <f t="shared" si="61"/>
        <v>0</v>
      </c>
    </row>
    <row r="232" spans="1:42" s="134" customFormat="1" ht="25">
      <c r="A232" s="185" t="s">
        <v>415</v>
      </c>
      <c r="B232" s="189" t="s">
        <v>416</v>
      </c>
      <c r="C232" s="186" t="s">
        <v>9</v>
      </c>
      <c r="D232" s="182">
        <f>D197+D195</f>
        <v>270</v>
      </c>
      <c r="E232" s="187">
        <v>9750</v>
      </c>
      <c r="F232" s="170">
        <f>D232*E232</f>
        <v>2632500</v>
      </c>
      <c r="G232" s="242"/>
      <c r="H232" s="239"/>
      <c r="I232" s="238"/>
      <c r="J232" s="239"/>
      <c r="K232" s="238"/>
      <c r="L232" s="239"/>
      <c r="M232" s="238"/>
      <c r="N232" s="239"/>
      <c r="O232" s="238"/>
      <c r="P232" s="239"/>
      <c r="Q232" s="238"/>
      <c r="R232" s="239"/>
      <c r="S232" s="238"/>
      <c r="T232" s="236">
        <f t="shared" si="52"/>
        <v>0</v>
      </c>
      <c r="U232" s="238"/>
      <c r="V232" s="239"/>
      <c r="W232" s="238"/>
      <c r="X232" s="236">
        <f t="shared" si="53"/>
        <v>0</v>
      </c>
      <c r="Y232" s="238"/>
      <c r="Z232" s="239"/>
      <c r="AA232" s="237">
        <f t="shared" si="54"/>
        <v>0</v>
      </c>
      <c r="AB232" s="236">
        <f t="shared" si="54"/>
        <v>0</v>
      </c>
      <c r="AC232" s="238"/>
      <c r="AD232" s="236">
        <f t="shared" si="55"/>
        <v>0</v>
      </c>
      <c r="AE232" s="237">
        <f t="shared" si="56"/>
        <v>0</v>
      </c>
      <c r="AF232" s="236">
        <f t="shared" si="56"/>
        <v>0</v>
      </c>
      <c r="AG232" s="238" t="e">
        <f>#REF!</f>
        <v>#REF!</v>
      </c>
      <c r="AH232" s="236" t="e">
        <f t="shared" si="57"/>
        <v>#REF!</v>
      </c>
      <c r="AI232" s="237" t="e">
        <f t="shared" si="58"/>
        <v>#REF!</v>
      </c>
      <c r="AJ232" s="236" t="e">
        <f t="shared" si="58"/>
        <v>#REF!</v>
      </c>
      <c r="AK232" s="238" t="e">
        <f>#REF!</f>
        <v>#REF!</v>
      </c>
      <c r="AL232" s="236" t="e">
        <f t="shared" si="59"/>
        <v>#REF!</v>
      </c>
      <c r="AM232" s="237" t="e">
        <f t="shared" si="60"/>
        <v>#REF!</v>
      </c>
      <c r="AN232" s="236" t="e">
        <f t="shared" si="60"/>
        <v>#REF!</v>
      </c>
      <c r="AO232" s="240"/>
      <c r="AP232" s="236">
        <f t="shared" si="61"/>
        <v>0</v>
      </c>
    </row>
    <row r="233" spans="1:42">
      <c r="A233" s="5"/>
      <c r="B233" s="85"/>
      <c r="C233" s="57"/>
      <c r="D233" s="138"/>
      <c r="E233" s="118"/>
      <c r="F233" s="81"/>
    </row>
    <row r="234" spans="1:42" ht="13">
      <c r="A234" s="5"/>
      <c r="B234" s="222" t="s">
        <v>417</v>
      </c>
      <c r="C234" s="57"/>
      <c r="D234" s="138"/>
      <c r="E234" s="118"/>
      <c r="F234" s="81"/>
    </row>
    <row r="235" spans="1:42">
      <c r="A235" s="5"/>
      <c r="B235" s="85"/>
      <c r="C235" s="57"/>
      <c r="D235" s="138"/>
      <c r="E235" s="118"/>
      <c r="F235" s="81"/>
    </row>
    <row r="236" spans="1:42" ht="28">
      <c r="A236" s="5"/>
      <c r="B236" s="88" t="s">
        <v>418</v>
      </c>
      <c r="C236" s="57"/>
      <c r="D236" s="138"/>
      <c r="E236" s="118"/>
      <c r="F236" s="81"/>
    </row>
    <row r="237" spans="1:42" ht="12.75" customHeight="1">
      <c r="A237" s="5"/>
      <c r="B237" s="85"/>
      <c r="C237" s="57"/>
      <c r="D237" s="138"/>
      <c r="E237" s="118"/>
      <c r="F237" s="81"/>
    </row>
    <row r="238" spans="1:42">
      <c r="A238" s="5" t="s">
        <v>419</v>
      </c>
      <c r="B238" s="85" t="s">
        <v>476</v>
      </c>
      <c r="C238" s="57" t="s">
        <v>10</v>
      </c>
      <c r="D238" s="138">
        <f>D85</f>
        <v>10</v>
      </c>
      <c r="E238" s="118">
        <v>1300</v>
      </c>
      <c r="F238" s="81">
        <f>D238*E238</f>
        <v>13000</v>
      </c>
    </row>
    <row r="239" spans="1:42">
      <c r="A239" s="5"/>
      <c r="B239" s="85"/>
      <c r="C239" s="57"/>
      <c r="D239" s="138"/>
      <c r="E239" s="118"/>
      <c r="F239" s="81"/>
    </row>
    <row r="240" spans="1:42">
      <c r="A240" s="5" t="s">
        <v>421</v>
      </c>
      <c r="B240" s="85" t="s">
        <v>477</v>
      </c>
      <c r="C240" s="57" t="s">
        <v>10</v>
      </c>
      <c r="D240" s="138">
        <f>D87</f>
        <v>11</v>
      </c>
      <c r="E240" s="118">
        <v>3700</v>
      </c>
      <c r="F240" s="81">
        <f>D240*E240</f>
        <v>40700</v>
      </c>
    </row>
    <row r="241" spans="1:42">
      <c r="A241" s="5"/>
      <c r="B241" s="85"/>
      <c r="C241" s="57"/>
      <c r="D241" s="138"/>
      <c r="E241" s="118"/>
      <c r="F241" s="81"/>
    </row>
    <row r="242" spans="1:42">
      <c r="A242" s="5" t="s">
        <v>423</v>
      </c>
      <c r="B242" s="85" t="s">
        <v>478</v>
      </c>
      <c r="C242" s="57" t="s">
        <v>10</v>
      </c>
      <c r="D242" s="138">
        <f>D89</f>
        <v>9</v>
      </c>
      <c r="E242" s="118">
        <v>7500</v>
      </c>
      <c r="F242" s="81">
        <f>D242*E242</f>
        <v>67500</v>
      </c>
    </row>
    <row r="243" spans="1:42">
      <c r="A243" s="5"/>
      <c r="B243" s="85"/>
      <c r="C243" s="57"/>
      <c r="D243" s="138"/>
      <c r="E243" s="118"/>
      <c r="F243" s="81"/>
    </row>
    <row r="244" spans="1:42">
      <c r="A244" s="5" t="s">
        <v>423</v>
      </c>
      <c r="B244" s="85" t="s">
        <v>479</v>
      </c>
      <c r="C244" s="57" t="s">
        <v>10</v>
      </c>
      <c r="D244" s="138">
        <f>D91</f>
        <v>11</v>
      </c>
      <c r="E244" s="118">
        <v>9000</v>
      </c>
      <c r="F244" s="81">
        <f>D244*E244</f>
        <v>99000</v>
      </c>
    </row>
    <row r="245" spans="1:42">
      <c r="A245" s="5"/>
      <c r="B245" s="85"/>
      <c r="C245" s="57"/>
      <c r="D245" s="138"/>
      <c r="E245" s="118"/>
      <c r="F245" s="81"/>
    </row>
    <row r="246" spans="1:42">
      <c r="A246" s="5" t="s">
        <v>426</v>
      </c>
      <c r="B246" s="85" t="s">
        <v>480</v>
      </c>
      <c r="C246" s="57" t="s">
        <v>10</v>
      </c>
      <c r="D246" s="138">
        <f>D93</f>
        <v>13</v>
      </c>
      <c r="E246" s="118">
        <v>22100</v>
      </c>
      <c r="F246" s="81">
        <f>D246*E246</f>
        <v>287300</v>
      </c>
    </row>
    <row r="247" spans="1:42">
      <c r="A247" s="5"/>
      <c r="B247" s="85"/>
      <c r="C247" s="57"/>
      <c r="D247" s="138"/>
      <c r="E247" s="118"/>
      <c r="F247" s="81"/>
    </row>
    <row r="248" spans="1:42" ht="15">
      <c r="A248" s="5"/>
      <c r="B248" s="88" t="s">
        <v>428</v>
      </c>
      <c r="C248" s="57"/>
      <c r="D248" s="138"/>
      <c r="E248" s="118"/>
      <c r="F248" s="81"/>
    </row>
    <row r="249" spans="1:42">
      <c r="A249" s="5"/>
      <c r="B249" s="85"/>
      <c r="C249" s="57"/>
      <c r="D249" s="138"/>
      <c r="E249" s="118"/>
      <c r="F249" s="81"/>
    </row>
    <row r="250" spans="1:42">
      <c r="A250" s="5" t="s">
        <v>429</v>
      </c>
      <c r="B250" s="85" t="s">
        <v>481</v>
      </c>
      <c r="C250" s="57" t="s">
        <v>10</v>
      </c>
      <c r="D250" s="138">
        <f>D163+D167</f>
        <v>9</v>
      </c>
      <c r="E250" s="118">
        <v>9000</v>
      </c>
      <c r="F250" s="81">
        <f>D250*E250</f>
        <v>81000</v>
      </c>
    </row>
    <row r="251" spans="1:42">
      <c r="A251" s="5"/>
      <c r="B251" s="85"/>
      <c r="C251" s="57"/>
      <c r="D251" s="138"/>
      <c r="E251" s="118"/>
      <c r="F251" s="81"/>
    </row>
    <row r="252" spans="1:42" ht="26" hidden="1">
      <c r="A252" s="5"/>
      <c r="B252" s="88" t="s">
        <v>431</v>
      </c>
      <c r="C252" s="57"/>
      <c r="D252" s="138"/>
      <c r="E252" s="118"/>
      <c r="F252" s="81"/>
    </row>
    <row r="253" spans="1:42" hidden="1">
      <c r="A253" s="5"/>
      <c r="B253" s="85"/>
      <c r="C253" s="57"/>
      <c r="D253" s="138"/>
      <c r="E253" s="118"/>
      <c r="F253" s="81"/>
    </row>
    <row r="254" spans="1:42" hidden="1">
      <c r="A254" s="5" t="s">
        <v>429</v>
      </c>
      <c r="B254" s="85" t="s">
        <v>432</v>
      </c>
      <c r="C254" s="57" t="s">
        <v>10</v>
      </c>
      <c r="D254" s="138"/>
      <c r="E254" s="118">
        <v>5000</v>
      </c>
      <c r="F254" s="81">
        <f>D254*E254</f>
        <v>0</v>
      </c>
    </row>
    <row r="255" spans="1:42" hidden="1">
      <c r="A255" s="5"/>
      <c r="B255" s="85"/>
      <c r="C255" s="57"/>
      <c r="D255" s="138"/>
      <c r="E255" s="118"/>
      <c r="F255" s="81"/>
    </row>
    <row r="256" spans="1:42" s="134" customFormat="1" ht="25">
      <c r="A256" s="179"/>
      <c r="B256" s="190" t="s">
        <v>433</v>
      </c>
      <c r="C256" s="223"/>
      <c r="D256" s="182"/>
      <c r="E256" s="183"/>
      <c r="F256" s="166"/>
      <c r="G256" s="242"/>
      <c r="H256" s="239"/>
      <c r="I256" s="238"/>
      <c r="J256" s="239"/>
      <c r="K256" s="238"/>
      <c r="L256" s="239"/>
      <c r="M256" s="238"/>
      <c r="N256" s="239"/>
      <c r="O256" s="238"/>
      <c r="P256" s="239"/>
      <c r="Q256" s="238"/>
      <c r="R256" s="239"/>
      <c r="S256" s="238"/>
      <c r="T256" s="236">
        <f>R256+P256</f>
        <v>0</v>
      </c>
      <c r="U256" s="238"/>
      <c r="V256" s="239"/>
      <c r="W256" s="238"/>
      <c r="X256" s="236">
        <f>V256+T256</f>
        <v>0</v>
      </c>
      <c r="Y256" s="238"/>
      <c r="Z256" s="239"/>
      <c r="AA256" s="237">
        <f t="shared" ref="AA256:AB258" si="62">Y256+W256</f>
        <v>0</v>
      </c>
      <c r="AB256" s="236">
        <f t="shared" si="62"/>
        <v>0</v>
      </c>
      <c r="AC256" s="238"/>
      <c r="AD256" s="239"/>
      <c r="AE256" s="237">
        <f t="shared" ref="AE256:AF258" si="63">AC256+AA256</f>
        <v>0</v>
      </c>
      <c r="AF256" s="236">
        <f t="shared" si="63"/>
        <v>0</v>
      </c>
      <c r="AG256" s="238"/>
      <c r="AH256" s="239"/>
      <c r="AI256" s="237">
        <f t="shared" ref="AI256:AJ258" si="64">AG256+AE256</f>
        <v>0</v>
      </c>
      <c r="AJ256" s="236">
        <f t="shared" si="64"/>
        <v>0</v>
      </c>
      <c r="AK256" s="238"/>
      <c r="AL256" s="239"/>
      <c r="AM256" s="237">
        <f t="shared" ref="AM256:AN258" si="65">AK256+AI256</f>
        <v>0</v>
      </c>
      <c r="AN256" s="236">
        <f t="shared" si="65"/>
        <v>0</v>
      </c>
      <c r="AO256" s="240"/>
      <c r="AP256" s="239"/>
    </row>
    <row r="257" spans="1:42" s="134" customFormat="1">
      <c r="A257" s="185"/>
      <c r="B257" s="189"/>
      <c r="C257" s="223"/>
      <c r="D257" s="182"/>
      <c r="E257" s="183"/>
      <c r="F257" s="166"/>
      <c r="G257" s="242"/>
      <c r="H257" s="239"/>
      <c r="I257" s="238"/>
      <c r="J257" s="239"/>
      <c r="K257" s="238"/>
      <c r="L257" s="239"/>
      <c r="M257" s="238"/>
      <c r="N257" s="239"/>
      <c r="O257" s="238"/>
      <c r="P257" s="239"/>
      <c r="Q257" s="238"/>
      <c r="R257" s="239"/>
      <c r="S257" s="238"/>
      <c r="T257" s="236">
        <f>R257+P257</f>
        <v>0</v>
      </c>
      <c r="U257" s="238"/>
      <c r="V257" s="239"/>
      <c r="W257" s="238"/>
      <c r="X257" s="236">
        <f>V257+T257</f>
        <v>0</v>
      </c>
      <c r="Y257" s="238"/>
      <c r="Z257" s="239"/>
      <c r="AA257" s="237">
        <f t="shared" si="62"/>
        <v>0</v>
      </c>
      <c r="AB257" s="236">
        <f t="shared" si="62"/>
        <v>0</v>
      </c>
      <c r="AC257" s="238"/>
      <c r="AD257" s="239"/>
      <c r="AE257" s="237">
        <f t="shared" si="63"/>
        <v>0</v>
      </c>
      <c r="AF257" s="236">
        <f t="shared" si="63"/>
        <v>0</v>
      </c>
      <c r="AG257" s="238"/>
      <c r="AH257" s="239"/>
      <c r="AI257" s="237">
        <f t="shared" si="64"/>
        <v>0</v>
      </c>
      <c r="AJ257" s="236">
        <f t="shared" si="64"/>
        <v>0</v>
      </c>
      <c r="AK257" s="238"/>
      <c r="AL257" s="239"/>
      <c r="AM257" s="237">
        <f t="shared" si="65"/>
        <v>0</v>
      </c>
      <c r="AN257" s="236">
        <f t="shared" si="65"/>
        <v>0</v>
      </c>
      <c r="AO257" s="240"/>
      <c r="AP257" s="239"/>
    </row>
    <row r="258" spans="1:42" s="134" customFormat="1">
      <c r="A258" s="185" t="s">
        <v>434</v>
      </c>
      <c r="B258" s="146" t="s">
        <v>435</v>
      </c>
      <c r="C258" s="223" t="s">
        <v>10</v>
      </c>
      <c r="D258" s="182">
        <v>2</v>
      </c>
      <c r="E258" s="187">
        <v>7560</v>
      </c>
      <c r="F258" s="170">
        <f>D258*E258</f>
        <v>15120</v>
      </c>
      <c r="G258" s="242"/>
      <c r="H258" s="239"/>
      <c r="I258" s="238"/>
      <c r="J258" s="239"/>
      <c r="K258" s="238"/>
      <c r="L258" s="239"/>
      <c r="M258" s="238"/>
      <c r="N258" s="239"/>
      <c r="O258" s="238"/>
      <c r="P258" s="239"/>
      <c r="Q258" s="238"/>
      <c r="R258" s="239"/>
      <c r="S258" s="238"/>
      <c r="T258" s="236">
        <f>R258+P258</f>
        <v>0</v>
      </c>
      <c r="U258" s="238"/>
      <c r="V258" s="239"/>
      <c r="W258" s="238"/>
      <c r="X258" s="236">
        <f>V258+T258</f>
        <v>0</v>
      </c>
      <c r="Y258" s="238"/>
      <c r="Z258" s="239"/>
      <c r="AA258" s="237">
        <f t="shared" si="62"/>
        <v>0</v>
      </c>
      <c r="AB258" s="236">
        <f t="shared" si="62"/>
        <v>0</v>
      </c>
      <c r="AC258" s="238"/>
      <c r="AD258" s="239"/>
      <c r="AE258" s="237">
        <f t="shared" si="63"/>
        <v>0</v>
      </c>
      <c r="AF258" s="236">
        <f t="shared" si="63"/>
        <v>0</v>
      </c>
      <c r="AG258" s="238"/>
      <c r="AH258" s="239"/>
      <c r="AI258" s="237">
        <f t="shared" si="64"/>
        <v>0</v>
      </c>
      <c r="AJ258" s="236">
        <f t="shared" si="64"/>
        <v>0</v>
      </c>
      <c r="AK258" s="238"/>
      <c r="AL258" s="239"/>
      <c r="AM258" s="237">
        <f t="shared" si="65"/>
        <v>0</v>
      </c>
      <c r="AN258" s="236">
        <f t="shared" si="65"/>
        <v>0</v>
      </c>
      <c r="AO258" s="240"/>
      <c r="AP258" s="239"/>
    </row>
    <row r="259" spans="1:42" ht="13">
      <c r="A259" s="5"/>
      <c r="B259" s="222"/>
      <c r="C259" s="57"/>
      <c r="D259" s="138"/>
      <c r="E259" s="118"/>
      <c r="F259" s="81"/>
    </row>
    <row r="260" spans="1:42">
      <c r="A260" s="224"/>
      <c r="B260" s="85"/>
      <c r="C260" s="57"/>
      <c r="D260" s="117"/>
      <c r="E260" s="225"/>
      <c r="F260" s="81"/>
    </row>
    <row r="261" spans="1:42" ht="13">
      <c r="A261" s="5"/>
      <c r="B261" s="222"/>
      <c r="C261" s="57"/>
      <c r="D261" s="138"/>
      <c r="E261" s="118"/>
      <c r="F261" s="81"/>
    </row>
    <row r="262" spans="1:42" ht="13">
      <c r="A262" s="5"/>
      <c r="B262" s="222"/>
      <c r="C262" s="57"/>
      <c r="D262" s="138"/>
      <c r="E262" s="118"/>
      <c r="F262" s="81"/>
    </row>
    <row r="263" spans="1:42" ht="13">
      <c r="A263" s="5"/>
      <c r="B263" s="222"/>
      <c r="C263" s="57"/>
      <c r="D263" s="138"/>
      <c r="E263" s="118"/>
      <c r="F263" s="81"/>
    </row>
    <row r="264" spans="1:42" ht="13">
      <c r="A264" s="5"/>
      <c r="B264" s="222"/>
      <c r="C264" s="57"/>
      <c r="D264" s="138"/>
      <c r="E264" s="118"/>
      <c r="F264" s="81"/>
    </row>
    <row r="265" spans="1:42" ht="13">
      <c r="A265" s="5"/>
      <c r="B265" s="222"/>
      <c r="C265" s="57"/>
      <c r="D265" s="138"/>
      <c r="E265" s="118"/>
      <c r="F265" s="81"/>
    </row>
    <row r="266" spans="1:42" ht="13">
      <c r="A266" s="5"/>
      <c r="B266" s="222"/>
      <c r="C266" s="57"/>
      <c r="D266" s="138"/>
      <c r="E266" s="118"/>
      <c r="F266" s="81"/>
    </row>
    <row r="267" spans="1:42" ht="13">
      <c r="A267" s="5"/>
      <c r="B267" s="222"/>
      <c r="C267" s="57"/>
      <c r="D267" s="138"/>
      <c r="E267" s="118"/>
      <c r="F267" s="81"/>
    </row>
    <row r="268" spans="1:42" ht="13">
      <c r="A268" s="5"/>
      <c r="B268" s="222"/>
      <c r="C268" s="57"/>
      <c r="D268" s="138"/>
      <c r="E268" s="118"/>
      <c r="F268" s="81"/>
    </row>
    <row r="269" spans="1:42" ht="13">
      <c r="A269" s="5"/>
      <c r="B269" s="222"/>
      <c r="C269" s="57"/>
      <c r="D269" s="138"/>
      <c r="E269" s="118"/>
      <c r="F269" s="81"/>
    </row>
    <row r="270" spans="1:42" ht="13">
      <c r="A270" s="5"/>
      <c r="B270" s="222"/>
      <c r="C270" s="57"/>
      <c r="D270" s="138"/>
      <c r="E270" s="118"/>
      <c r="F270" s="81"/>
    </row>
    <row r="271" spans="1:42" ht="13">
      <c r="A271" s="5"/>
      <c r="B271" s="222"/>
      <c r="C271" s="57"/>
      <c r="D271" s="138"/>
      <c r="E271" s="118"/>
      <c r="F271" s="81"/>
    </row>
    <row r="272" spans="1:42" ht="13">
      <c r="A272" s="5"/>
      <c r="B272" s="222"/>
      <c r="C272" s="57"/>
      <c r="D272" s="138"/>
      <c r="E272" s="118"/>
      <c r="F272" s="81"/>
    </row>
    <row r="273" spans="1:6" ht="13">
      <c r="A273" s="5"/>
      <c r="B273" s="222"/>
      <c r="C273" s="57"/>
      <c r="D273" s="138"/>
      <c r="E273" s="118"/>
      <c r="F273" s="81"/>
    </row>
    <row r="274" spans="1:6" ht="13">
      <c r="A274" s="5"/>
      <c r="B274" s="222"/>
      <c r="C274" s="57"/>
      <c r="D274" s="138"/>
      <c r="E274" s="118"/>
      <c r="F274" s="81"/>
    </row>
    <row r="275" spans="1:6" ht="13">
      <c r="A275" s="5"/>
      <c r="B275" s="222"/>
      <c r="C275" s="57"/>
      <c r="D275" s="138"/>
      <c r="E275" s="118"/>
      <c r="F275" s="81"/>
    </row>
    <row r="276" spans="1:6" ht="13">
      <c r="A276" s="5"/>
      <c r="B276" s="222"/>
      <c r="C276" s="57"/>
      <c r="D276" s="138"/>
      <c r="E276" s="118"/>
      <c r="F276" s="81"/>
    </row>
    <row r="277" spans="1:6" ht="13.5" thickBot="1">
      <c r="A277" s="5"/>
      <c r="B277" s="222"/>
      <c r="C277" s="57"/>
      <c r="D277" s="138"/>
      <c r="E277" s="118"/>
      <c r="F277" s="81"/>
    </row>
    <row r="278" spans="1:6" s="3" customFormat="1" ht="13" thickTop="1">
      <c r="A278" s="15"/>
      <c r="B278" s="10"/>
      <c r="C278" s="104"/>
      <c r="D278" s="119"/>
      <c r="E278" s="105"/>
      <c r="F278" s="80"/>
    </row>
    <row r="279" spans="1:6" s="3" customFormat="1" ht="13">
      <c r="A279" s="106"/>
      <c r="B279" s="107" t="s">
        <v>301</v>
      </c>
      <c r="C279" s="108"/>
      <c r="D279" s="120"/>
      <c r="E279" s="109"/>
      <c r="F279" s="75">
        <f>SUM(F225:F278)</f>
        <v>6531620</v>
      </c>
    </row>
    <row r="280" spans="1:6" s="3" customFormat="1" ht="13" thickBot="1">
      <c r="A280" s="12"/>
      <c r="B280" s="110"/>
      <c r="C280" s="111"/>
      <c r="D280" s="122"/>
      <c r="E280" s="112"/>
      <c r="F280" s="82"/>
    </row>
    <row r="281" spans="1:6" ht="13.5" thickTop="1">
      <c r="A281" s="15"/>
      <c r="B281" s="1543"/>
      <c r="C281" s="1543"/>
      <c r="D281" s="1543"/>
      <c r="E281" s="1543"/>
      <c r="F281" s="172"/>
    </row>
    <row r="282" spans="1:6" ht="12.75" customHeight="1">
      <c r="A282" s="1542" t="s">
        <v>438</v>
      </c>
      <c r="B282" s="1542"/>
      <c r="C282" s="1542"/>
      <c r="D282" s="1542"/>
      <c r="E282" s="1542"/>
      <c r="F282" s="1542"/>
    </row>
    <row r="283" spans="1:6" ht="13" thickBot="1">
      <c r="A283" s="91"/>
      <c r="D283" s="127"/>
      <c r="E283" s="128"/>
      <c r="F283" s="135"/>
    </row>
    <row r="284" spans="1:6" ht="27" thickTop="1" thickBot="1">
      <c r="A284" s="13" t="s">
        <v>4</v>
      </c>
      <c r="B284" s="129" t="s">
        <v>5</v>
      </c>
      <c r="C284" s="129" t="s">
        <v>6</v>
      </c>
      <c r="D284" s="130" t="s">
        <v>1</v>
      </c>
      <c r="E284" s="131" t="s">
        <v>7</v>
      </c>
      <c r="F284" s="76" t="s">
        <v>8</v>
      </c>
    </row>
    <row r="285" spans="1:6" ht="13" thickTop="1">
      <c r="A285" s="5"/>
      <c r="B285" s="115"/>
      <c r="C285" s="86"/>
      <c r="D285" s="138"/>
      <c r="E285" s="118"/>
      <c r="F285" s="81"/>
    </row>
    <row r="286" spans="1:6">
      <c r="A286" s="5"/>
      <c r="B286" s="115"/>
      <c r="C286" s="86"/>
      <c r="D286" s="138"/>
      <c r="E286" s="118"/>
      <c r="F286" s="81"/>
    </row>
    <row r="287" spans="1:6" ht="13">
      <c r="A287" s="11"/>
      <c r="B287" s="62" t="s">
        <v>436</v>
      </c>
      <c r="C287" s="63"/>
      <c r="D287" s="226"/>
      <c r="E287" s="79"/>
      <c r="F287" s="78"/>
    </row>
    <row r="288" spans="1:6" ht="13">
      <c r="A288" s="14"/>
      <c r="B288" s="85"/>
      <c r="C288" s="58"/>
      <c r="D288" s="227"/>
      <c r="E288" s="77"/>
      <c r="F288" s="64"/>
    </row>
    <row r="289" spans="1:6" ht="13">
      <c r="A289" s="14"/>
      <c r="B289" s="59" t="s">
        <v>78</v>
      </c>
      <c r="C289" s="58"/>
      <c r="D289" s="227"/>
      <c r="E289" s="77"/>
      <c r="F289" s="64">
        <f>F62</f>
        <v>106311200</v>
      </c>
    </row>
    <row r="290" spans="1:6" ht="13">
      <c r="A290" s="14"/>
      <c r="B290" s="59"/>
      <c r="C290" s="58"/>
      <c r="D290" s="227"/>
      <c r="E290" s="77"/>
      <c r="F290" s="64"/>
    </row>
    <row r="291" spans="1:6" ht="13">
      <c r="A291" s="14"/>
      <c r="B291" s="59" t="s">
        <v>79</v>
      </c>
      <c r="C291" s="58"/>
      <c r="D291" s="227"/>
      <c r="E291" s="77"/>
      <c r="F291" s="64">
        <f>F151</f>
        <v>3576550</v>
      </c>
    </row>
    <row r="292" spans="1:6" ht="13">
      <c r="A292" s="14"/>
      <c r="B292" s="59"/>
      <c r="C292" s="58"/>
      <c r="D292" s="227"/>
      <c r="E292" s="77"/>
      <c r="F292" s="64"/>
    </row>
    <row r="293" spans="1:6" ht="13">
      <c r="A293" s="14"/>
      <c r="B293" s="59" t="s">
        <v>80</v>
      </c>
      <c r="C293" s="58"/>
      <c r="D293" s="227"/>
      <c r="E293" s="77"/>
      <c r="F293" s="64">
        <f>F219</f>
        <v>16329010</v>
      </c>
    </row>
    <row r="294" spans="1:6" ht="13">
      <c r="A294" s="14"/>
      <c r="B294" s="59"/>
      <c r="C294" s="58"/>
      <c r="D294" s="227"/>
      <c r="E294" s="77"/>
      <c r="F294" s="64"/>
    </row>
    <row r="295" spans="1:6" ht="13">
      <c r="A295" s="14"/>
      <c r="B295" s="59" t="s">
        <v>81</v>
      </c>
      <c r="C295" s="58"/>
      <c r="D295" s="227"/>
      <c r="E295" s="77"/>
      <c r="F295" s="64">
        <f>F279</f>
        <v>6531620</v>
      </c>
    </row>
    <row r="296" spans="1:6" ht="13">
      <c r="A296" s="14"/>
      <c r="B296" s="59"/>
      <c r="C296" s="58"/>
      <c r="D296" s="227"/>
      <c r="E296" s="77"/>
      <c r="F296" s="64"/>
    </row>
    <row r="297" spans="1:6" ht="13">
      <c r="A297" s="14"/>
      <c r="B297" s="59"/>
      <c r="C297" s="58"/>
      <c r="D297" s="227"/>
      <c r="E297" s="77"/>
      <c r="F297" s="64"/>
    </row>
    <row r="298" spans="1:6" ht="13">
      <c r="A298" s="14"/>
      <c r="B298" s="59"/>
      <c r="C298" s="58"/>
      <c r="D298" s="227"/>
      <c r="E298" s="77"/>
      <c r="F298" s="64"/>
    </row>
    <row r="299" spans="1:6" ht="13">
      <c r="A299" s="14"/>
      <c r="B299" s="85"/>
      <c r="C299" s="58"/>
      <c r="D299" s="227"/>
      <c r="E299" s="77"/>
      <c r="F299" s="64"/>
    </row>
    <row r="300" spans="1:6" ht="13">
      <c r="A300" s="14"/>
      <c r="B300" s="85"/>
      <c r="C300" s="58"/>
      <c r="D300" s="227"/>
      <c r="E300" s="77"/>
      <c r="F300" s="64"/>
    </row>
    <row r="301" spans="1:6" ht="13">
      <c r="A301" s="14"/>
      <c r="B301" s="85"/>
      <c r="C301" s="58"/>
      <c r="D301" s="227"/>
      <c r="E301" s="77"/>
      <c r="F301" s="64"/>
    </row>
    <row r="302" spans="1:6" ht="13">
      <c r="A302" s="14"/>
      <c r="B302" s="85"/>
      <c r="C302" s="58"/>
      <c r="D302" s="227"/>
      <c r="E302" s="77"/>
      <c r="F302" s="64"/>
    </row>
    <row r="303" spans="1:6" ht="13">
      <c r="A303" s="14"/>
      <c r="B303" s="85"/>
      <c r="C303" s="58"/>
      <c r="D303" s="227"/>
      <c r="E303" s="77"/>
      <c r="F303" s="64"/>
    </row>
    <row r="304" spans="1:6" ht="13">
      <c r="A304" s="14"/>
      <c r="B304" s="85"/>
      <c r="C304" s="58"/>
      <c r="D304" s="227"/>
      <c r="E304" s="77"/>
      <c r="F304" s="64"/>
    </row>
    <row r="305" spans="1:6" ht="13">
      <c r="A305" s="14"/>
      <c r="B305" s="85"/>
      <c r="C305" s="58"/>
      <c r="D305" s="227"/>
      <c r="E305" s="77"/>
      <c r="F305" s="64"/>
    </row>
    <row r="306" spans="1:6" ht="13">
      <c r="A306" s="14"/>
      <c r="B306" s="85"/>
      <c r="C306" s="58"/>
      <c r="D306" s="227"/>
      <c r="E306" s="77"/>
      <c r="F306" s="64"/>
    </row>
    <row r="307" spans="1:6" ht="13">
      <c r="A307" s="14"/>
      <c r="B307" s="85"/>
      <c r="C307" s="58"/>
      <c r="D307" s="227"/>
      <c r="E307" s="77"/>
      <c r="F307" s="64"/>
    </row>
    <row r="308" spans="1:6" ht="13">
      <c r="A308" s="14"/>
      <c r="B308" s="85"/>
      <c r="C308" s="58"/>
      <c r="D308" s="227"/>
      <c r="E308" s="77"/>
      <c r="F308" s="64"/>
    </row>
    <row r="309" spans="1:6" ht="13">
      <c r="A309" s="14"/>
      <c r="B309" s="85"/>
      <c r="C309" s="58"/>
      <c r="D309" s="227"/>
      <c r="E309" s="77"/>
      <c r="F309" s="64"/>
    </row>
    <row r="310" spans="1:6" ht="13">
      <c r="A310" s="14"/>
      <c r="B310" s="85"/>
      <c r="C310" s="58"/>
      <c r="D310" s="227"/>
      <c r="E310" s="77"/>
      <c r="F310" s="64"/>
    </row>
    <row r="311" spans="1:6" ht="13">
      <c r="A311" s="14"/>
      <c r="B311" s="85"/>
      <c r="C311" s="58"/>
      <c r="D311" s="227"/>
      <c r="E311" s="77"/>
      <c r="F311" s="64"/>
    </row>
    <row r="312" spans="1:6" ht="13">
      <c r="A312" s="14"/>
      <c r="B312" s="85"/>
      <c r="C312" s="58"/>
      <c r="D312" s="227"/>
      <c r="E312" s="77"/>
      <c r="F312" s="64"/>
    </row>
    <row r="313" spans="1:6" ht="13">
      <c r="A313" s="14"/>
      <c r="B313" s="85"/>
      <c r="C313" s="58"/>
      <c r="D313" s="227"/>
      <c r="E313" s="77"/>
      <c r="F313" s="64"/>
    </row>
    <row r="314" spans="1:6" ht="13">
      <c r="A314" s="14"/>
      <c r="B314" s="85"/>
      <c r="C314" s="58"/>
      <c r="D314" s="227"/>
      <c r="E314" s="77"/>
      <c r="F314" s="64"/>
    </row>
    <row r="315" spans="1:6" ht="13">
      <c r="A315" s="14"/>
      <c r="B315" s="85"/>
      <c r="C315" s="58"/>
      <c r="D315" s="227"/>
      <c r="E315" s="77"/>
      <c r="F315" s="64"/>
    </row>
    <row r="316" spans="1:6" ht="13">
      <c r="A316" s="14"/>
      <c r="B316" s="85"/>
      <c r="C316" s="58"/>
      <c r="D316" s="227"/>
      <c r="E316" s="77"/>
      <c r="F316" s="64"/>
    </row>
    <row r="317" spans="1:6" ht="13">
      <c r="A317" s="14"/>
      <c r="B317" s="85"/>
      <c r="C317" s="58"/>
      <c r="D317" s="227"/>
      <c r="E317" s="77"/>
      <c r="F317" s="64"/>
    </row>
    <row r="318" spans="1:6" ht="13">
      <c r="A318" s="14"/>
      <c r="B318" s="85"/>
      <c r="C318" s="58"/>
      <c r="D318" s="227"/>
      <c r="E318" s="77"/>
      <c r="F318" s="64"/>
    </row>
    <row r="319" spans="1:6" ht="13">
      <c r="A319" s="14"/>
      <c r="B319" s="85"/>
      <c r="C319" s="58"/>
      <c r="D319" s="227"/>
      <c r="E319" s="77"/>
      <c r="F319" s="64"/>
    </row>
    <row r="320" spans="1:6" ht="13">
      <c r="A320" s="14"/>
      <c r="B320" s="85"/>
      <c r="C320" s="58"/>
      <c r="D320" s="227"/>
      <c r="E320" s="77"/>
      <c r="F320" s="64"/>
    </row>
    <row r="321" spans="1:6" ht="13">
      <c r="A321" s="14"/>
      <c r="B321" s="85"/>
      <c r="C321" s="58"/>
      <c r="D321" s="227"/>
      <c r="E321" s="77"/>
      <c r="F321" s="64"/>
    </row>
    <row r="322" spans="1:6" ht="13">
      <c r="A322" s="14"/>
      <c r="B322" s="85"/>
      <c r="C322" s="58"/>
      <c r="D322" s="227"/>
      <c r="E322" s="77"/>
      <c r="F322" s="64"/>
    </row>
    <row r="323" spans="1:6" ht="13">
      <c r="A323" s="14"/>
      <c r="B323" s="85"/>
      <c r="C323" s="58"/>
      <c r="D323" s="227"/>
      <c r="E323" s="77"/>
      <c r="F323" s="64"/>
    </row>
    <row r="324" spans="1:6" ht="13">
      <c r="A324" s="14"/>
      <c r="B324" s="85"/>
      <c r="C324" s="58"/>
      <c r="D324" s="227"/>
      <c r="E324" s="77"/>
      <c r="F324" s="64"/>
    </row>
    <row r="325" spans="1:6" ht="13">
      <c r="A325" s="14"/>
      <c r="B325" s="85"/>
      <c r="C325" s="58"/>
      <c r="D325" s="227"/>
      <c r="E325" s="77"/>
      <c r="F325" s="64"/>
    </row>
    <row r="326" spans="1:6" ht="13">
      <c r="A326" s="14"/>
      <c r="B326" s="85"/>
      <c r="C326" s="58"/>
      <c r="D326" s="227"/>
      <c r="E326" s="77"/>
      <c r="F326" s="64"/>
    </row>
    <row r="327" spans="1:6" ht="13">
      <c r="A327" s="14"/>
      <c r="B327" s="85"/>
      <c r="C327" s="58"/>
      <c r="D327" s="227"/>
      <c r="E327" s="77"/>
      <c r="F327" s="64"/>
    </row>
    <row r="328" spans="1:6" ht="13">
      <c r="A328" s="14"/>
      <c r="B328" s="85"/>
      <c r="C328" s="58"/>
      <c r="D328" s="227"/>
      <c r="E328" s="77"/>
      <c r="F328" s="64"/>
    </row>
    <row r="329" spans="1:6" ht="13">
      <c r="A329" s="14"/>
      <c r="B329" s="85"/>
      <c r="C329" s="58"/>
      <c r="D329" s="227"/>
      <c r="E329" s="77"/>
      <c r="F329" s="64"/>
    </row>
    <row r="330" spans="1:6" ht="13">
      <c r="A330" s="14"/>
      <c r="B330" s="85"/>
      <c r="C330" s="58"/>
      <c r="D330" s="227"/>
      <c r="E330" s="77"/>
      <c r="F330" s="64"/>
    </row>
    <row r="331" spans="1:6" ht="13">
      <c r="A331" s="14"/>
      <c r="B331" s="85"/>
      <c r="C331" s="58"/>
      <c r="D331" s="227"/>
      <c r="E331" s="77"/>
      <c r="F331" s="64"/>
    </row>
    <row r="332" spans="1:6" ht="13">
      <c r="A332" s="14"/>
      <c r="B332" s="85"/>
      <c r="C332" s="58"/>
      <c r="D332" s="227"/>
      <c r="E332" s="77"/>
      <c r="F332" s="64"/>
    </row>
    <row r="333" spans="1:6" ht="13">
      <c r="A333" s="14"/>
      <c r="B333" s="85"/>
      <c r="C333" s="58"/>
      <c r="D333" s="227"/>
      <c r="E333" s="77"/>
      <c r="F333" s="64"/>
    </row>
    <row r="334" spans="1:6" ht="13">
      <c r="A334" s="14"/>
      <c r="B334" s="85"/>
      <c r="C334" s="58"/>
      <c r="D334" s="227"/>
      <c r="E334" s="77"/>
      <c r="F334" s="64"/>
    </row>
    <row r="335" spans="1:6" ht="13">
      <c r="A335" s="14"/>
      <c r="B335" s="85"/>
      <c r="C335" s="58"/>
      <c r="D335" s="227"/>
      <c r="E335" s="77"/>
      <c r="F335" s="64"/>
    </row>
    <row r="336" spans="1:6" ht="13">
      <c r="A336" s="14"/>
      <c r="B336" s="85"/>
      <c r="C336" s="58"/>
      <c r="D336" s="227"/>
      <c r="E336" s="77"/>
      <c r="F336" s="64"/>
    </row>
    <row r="337" spans="1:6" ht="13">
      <c r="A337" s="14"/>
      <c r="B337" s="85"/>
      <c r="C337" s="58"/>
      <c r="D337" s="227"/>
      <c r="E337" s="77"/>
      <c r="F337" s="64"/>
    </row>
    <row r="338" spans="1:6" ht="13">
      <c r="A338" s="14"/>
      <c r="B338" s="85"/>
      <c r="C338" s="58"/>
      <c r="D338" s="227"/>
      <c r="E338" s="77"/>
      <c r="F338" s="64"/>
    </row>
    <row r="339" spans="1:6" ht="13">
      <c r="A339" s="14"/>
      <c r="B339" s="85"/>
      <c r="C339" s="58"/>
      <c r="D339" s="227"/>
      <c r="E339" s="77"/>
      <c r="F339" s="64"/>
    </row>
    <row r="340" spans="1:6" ht="13">
      <c r="A340" s="14"/>
      <c r="B340" s="85"/>
      <c r="C340" s="58"/>
      <c r="D340" s="227"/>
      <c r="E340" s="77"/>
      <c r="F340" s="64"/>
    </row>
    <row r="341" spans="1:6" ht="13">
      <c r="A341" s="14"/>
      <c r="B341" s="85"/>
      <c r="C341" s="58"/>
      <c r="D341" s="227"/>
      <c r="E341" s="77"/>
      <c r="F341" s="64"/>
    </row>
    <row r="342" spans="1:6" ht="13">
      <c r="A342" s="14"/>
      <c r="B342" s="85"/>
      <c r="C342" s="58"/>
      <c r="D342" s="227"/>
      <c r="E342" s="77"/>
      <c r="F342" s="64"/>
    </row>
    <row r="343" spans="1:6" ht="13">
      <c r="A343" s="14"/>
      <c r="B343" s="85"/>
      <c r="C343" s="58"/>
      <c r="D343" s="227"/>
      <c r="E343" s="77"/>
      <c r="F343" s="64"/>
    </row>
    <row r="344" spans="1:6" ht="13.5" thickBot="1">
      <c r="A344" s="14"/>
      <c r="B344" s="85"/>
      <c r="C344" s="58"/>
      <c r="D344" s="227"/>
      <c r="E344" s="77"/>
      <c r="F344" s="64"/>
    </row>
    <row r="345" spans="1:6" ht="13" thickTop="1">
      <c r="A345" s="15"/>
      <c r="B345" s="10"/>
      <c r="C345" s="104"/>
      <c r="D345" s="119"/>
      <c r="E345" s="105"/>
      <c r="F345" s="80"/>
    </row>
    <row r="346" spans="1:6" ht="13">
      <c r="A346" s="106"/>
      <c r="B346" s="107" t="s">
        <v>482</v>
      </c>
      <c r="C346" s="108"/>
      <c r="D346" s="120"/>
      <c r="E346" s="109"/>
      <c r="F346" s="75">
        <f>SUM(F285:F345)</f>
        <v>132748380</v>
      </c>
    </row>
    <row r="347" spans="1:6" ht="13" thickBot="1">
      <c r="A347" s="12"/>
      <c r="B347" s="110"/>
      <c r="C347" s="111"/>
      <c r="D347" s="122"/>
      <c r="E347" s="112"/>
      <c r="F347" s="82"/>
    </row>
    <row r="348" spans="1:6" ht="13" thickTop="1"/>
    <row r="349" spans="1:6">
      <c r="E349" s="125">
        <f>F346/5020</f>
        <v>26443.900398406375</v>
      </c>
    </row>
  </sheetData>
  <mergeCells count="9">
    <mergeCell ref="A222:F222"/>
    <mergeCell ref="B281:E281"/>
    <mergeCell ref="A282:F282"/>
    <mergeCell ref="A2:F2"/>
    <mergeCell ref="B64:E64"/>
    <mergeCell ref="A65:F65"/>
    <mergeCell ref="B153:E153"/>
    <mergeCell ref="A154:F154"/>
    <mergeCell ref="B221:E221"/>
  </mergeCells>
  <printOptions horizontalCentered="1" verticalCentered="1"/>
  <pageMargins left="0.75" right="0.5" top="0.75" bottom="0.75" header="0.5" footer="0.5"/>
  <pageSetup paperSize="9" scale="90" orientation="portrait"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61"/>
  <sheetViews>
    <sheetView view="pageBreakPreview" topLeftCell="A151" zoomScaleNormal="100" zoomScaleSheetLayoutView="100" workbookViewId="0">
      <selection activeCell="B12" sqref="B12"/>
    </sheetView>
  </sheetViews>
  <sheetFormatPr defaultColWidth="9.08984375" defaultRowHeight="12.5"/>
  <cols>
    <col min="1" max="1" width="9.54296875" style="123" customWidth="1"/>
    <col min="2" max="2" width="48.54296875" style="17" customWidth="1"/>
    <col min="3" max="3" width="8.54296875" style="123" customWidth="1"/>
    <col min="4" max="4" width="8.6328125" style="125" customWidth="1"/>
    <col min="5" max="5" width="11.08984375" style="125" customWidth="1"/>
    <col min="6" max="6" width="14.6328125" style="301" customWidth="1"/>
    <col min="7" max="16384" width="9.08984375" style="17"/>
  </cols>
  <sheetData>
    <row r="1" spans="1:18" ht="12.75" customHeight="1"/>
    <row r="2" spans="1:18" ht="12.75" customHeight="1">
      <c r="A2" s="1542" t="s">
        <v>728</v>
      </c>
      <c r="B2" s="1542"/>
      <c r="C2" s="1542"/>
      <c r="D2" s="1542"/>
      <c r="E2" s="1542"/>
      <c r="F2" s="1542"/>
    </row>
    <row r="3" spans="1:18" ht="13" thickBot="1">
      <c r="A3" s="9"/>
      <c r="D3" s="302"/>
      <c r="E3" s="303"/>
    </row>
    <row r="4" spans="1:18" ht="27" thickTop="1" thickBot="1">
      <c r="A4" s="13" t="s">
        <v>659</v>
      </c>
      <c r="B4" s="129" t="s">
        <v>5</v>
      </c>
      <c r="C4" s="129" t="s">
        <v>6</v>
      </c>
      <c r="D4" s="304" t="s">
        <v>1</v>
      </c>
      <c r="E4" s="84" t="s">
        <v>7</v>
      </c>
      <c r="F4" s="305" t="s">
        <v>8</v>
      </c>
    </row>
    <row r="5" spans="1:18" ht="13.5" thickTop="1">
      <c r="A5" s="70"/>
      <c r="B5" s="87"/>
      <c r="C5" s="57"/>
      <c r="D5" s="306"/>
      <c r="E5" s="307"/>
      <c r="F5" s="308"/>
    </row>
    <row r="6" spans="1:18" ht="26">
      <c r="A6" s="309" t="s">
        <v>660</v>
      </c>
      <c r="B6" s="310" t="s">
        <v>661</v>
      </c>
      <c r="C6" s="311"/>
      <c r="D6" s="312"/>
      <c r="E6" s="307"/>
      <c r="F6" s="308"/>
    </row>
    <row r="7" spans="1:18" ht="13">
      <c r="A7" s="309"/>
      <c r="B7" s="310"/>
      <c r="C7" s="311"/>
      <c r="D7" s="312"/>
      <c r="E7" s="307"/>
      <c r="F7" s="308"/>
    </row>
    <row r="8" spans="1:18" ht="78">
      <c r="A8" s="309"/>
      <c r="B8" s="313" t="s">
        <v>662</v>
      </c>
      <c r="C8" s="311"/>
      <c r="D8" s="312"/>
      <c r="E8" s="307"/>
      <c r="F8" s="308"/>
    </row>
    <row r="9" spans="1:18" ht="14">
      <c r="A9" s="314"/>
      <c r="B9" s="315"/>
      <c r="C9" s="316"/>
      <c r="D9" s="312"/>
      <c r="E9" s="307"/>
      <c r="F9" s="308"/>
    </row>
    <row r="10" spans="1:18" ht="26">
      <c r="A10" s="314" t="s">
        <v>663</v>
      </c>
      <c r="B10" s="317" t="s">
        <v>664</v>
      </c>
      <c r="C10" s="317"/>
      <c r="D10" s="312"/>
      <c r="E10" s="90"/>
      <c r="F10" s="318"/>
    </row>
    <row r="11" spans="1:18" ht="13">
      <c r="A11" s="314"/>
      <c r="B11" s="317"/>
      <c r="C11" s="317"/>
      <c r="D11" s="312"/>
      <c r="E11" s="90"/>
      <c r="F11" s="318"/>
    </row>
    <row r="12" spans="1:18" ht="137.5">
      <c r="A12" s="319"/>
      <c r="B12" s="320" t="s">
        <v>665</v>
      </c>
      <c r="C12" s="311"/>
      <c r="D12" s="312"/>
      <c r="E12" s="90"/>
      <c r="F12" s="318"/>
      <c r="I12" s="17" t="s">
        <v>666</v>
      </c>
    </row>
    <row r="13" spans="1:18" ht="14">
      <c r="A13" s="319"/>
      <c r="B13" s="320"/>
      <c r="C13" s="311"/>
      <c r="D13" s="312"/>
      <c r="E13" s="90"/>
      <c r="F13" s="318"/>
    </row>
    <row r="14" spans="1:18" ht="26">
      <c r="A14" s="319"/>
      <c r="B14" s="321" t="s">
        <v>667</v>
      </c>
      <c r="C14" s="311"/>
      <c r="D14" s="312"/>
      <c r="E14" s="90"/>
      <c r="F14" s="318"/>
      <c r="I14" s="17">
        <f>I22/1000</f>
        <v>37</v>
      </c>
      <c r="J14" s="17">
        <f>950</f>
        <v>950</v>
      </c>
      <c r="Q14" s="17" t="s">
        <v>668</v>
      </c>
      <c r="R14" s="17" t="s">
        <v>669</v>
      </c>
    </row>
    <row r="15" spans="1:18" ht="14">
      <c r="A15" s="319"/>
      <c r="B15" s="317"/>
      <c r="C15" s="311"/>
      <c r="D15" s="312"/>
      <c r="E15" s="90"/>
      <c r="F15" s="318"/>
      <c r="N15" s="17" t="s">
        <v>670</v>
      </c>
      <c r="O15" s="17" t="s">
        <v>671</v>
      </c>
      <c r="P15" s="17" t="s">
        <v>672</v>
      </c>
    </row>
    <row r="16" spans="1:18" hidden="1">
      <c r="A16" s="322" t="s">
        <v>673</v>
      </c>
      <c r="B16" s="323" t="s">
        <v>674</v>
      </c>
      <c r="C16" s="324" t="s">
        <v>9</v>
      </c>
      <c r="D16" s="312"/>
      <c r="E16" s="325">
        <v>6000</v>
      </c>
      <c r="F16" s="318">
        <f>D16*E16</f>
        <v>0</v>
      </c>
      <c r="L16" s="17">
        <v>14</v>
      </c>
      <c r="M16" s="17">
        <v>37</v>
      </c>
      <c r="N16" s="17">
        <f>+L16*M16*1.4</f>
        <v>725.19999999999993</v>
      </c>
      <c r="O16" s="118">
        <v>1000</v>
      </c>
      <c r="P16" s="83">
        <f>1.2*0.6*14*400</f>
        <v>4032</v>
      </c>
      <c r="Q16" s="326">
        <f>+N16+O16+P16</f>
        <v>5757.2</v>
      </c>
      <c r="R16" s="249">
        <v>6000</v>
      </c>
    </row>
    <row r="17" spans="1:18" hidden="1">
      <c r="A17" s="322"/>
      <c r="B17" s="323"/>
      <c r="C17" s="324"/>
      <c r="D17" s="312"/>
      <c r="F17" s="318"/>
      <c r="O17" s="118"/>
      <c r="P17" s="83"/>
      <c r="Q17" s="326"/>
    </row>
    <row r="18" spans="1:18" hidden="1">
      <c r="A18" s="322" t="s">
        <v>675</v>
      </c>
      <c r="B18" s="323" t="s">
        <v>676</v>
      </c>
      <c r="C18" s="324" t="s">
        <v>9</v>
      </c>
      <c r="D18" s="312"/>
      <c r="E18" s="325">
        <v>8000</v>
      </c>
      <c r="F18" s="318">
        <f t="shared" ref="F18:F24" si="0">D18*E18</f>
        <v>0</v>
      </c>
      <c r="L18" s="17">
        <v>14</v>
      </c>
      <c r="M18" s="17">
        <v>58</v>
      </c>
      <c r="N18" s="17">
        <f>+L18*M18*1.4</f>
        <v>1136.8</v>
      </c>
      <c r="O18" s="118">
        <v>2000</v>
      </c>
      <c r="P18" s="83">
        <f>1.2*0.6*14*400</f>
        <v>4032</v>
      </c>
      <c r="Q18" s="326">
        <f>+N18+O18+P18</f>
        <v>7168.8</v>
      </c>
      <c r="R18" s="249">
        <v>8000</v>
      </c>
    </row>
    <row r="19" spans="1:18" hidden="1">
      <c r="A19" s="322"/>
      <c r="B19" s="323"/>
      <c r="C19" s="324"/>
      <c r="D19" s="312"/>
      <c r="F19" s="318"/>
      <c r="O19" s="118"/>
      <c r="P19" s="83"/>
      <c r="Q19" s="326"/>
    </row>
    <row r="20" spans="1:18" hidden="1">
      <c r="A20" s="322" t="s">
        <v>677</v>
      </c>
      <c r="B20" s="323" t="s">
        <v>678</v>
      </c>
      <c r="C20" s="324" t="s">
        <v>9</v>
      </c>
      <c r="D20" s="312"/>
      <c r="E20" s="325">
        <v>10000</v>
      </c>
      <c r="F20" s="318">
        <f t="shared" si="0"/>
        <v>0</v>
      </c>
      <c r="L20" s="17">
        <v>14</v>
      </c>
      <c r="M20" s="17">
        <v>88</v>
      </c>
      <c r="N20" s="17">
        <f>+L20*M20*1.4</f>
        <v>1724.8</v>
      </c>
      <c r="O20" s="118">
        <v>4000</v>
      </c>
      <c r="P20" s="83">
        <f>1.2*0.6*14*400</f>
        <v>4032</v>
      </c>
      <c r="Q20" s="326">
        <f>+N20+O20+P20</f>
        <v>9756.7999999999993</v>
      </c>
      <c r="R20" s="249">
        <v>10000</v>
      </c>
    </row>
    <row r="21" spans="1:18">
      <c r="A21" s="322"/>
      <c r="B21" s="323"/>
      <c r="C21" s="324"/>
      <c r="D21" s="312"/>
      <c r="F21" s="318"/>
      <c r="K21" s="17" t="s">
        <v>679</v>
      </c>
      <c r="O21" s="118"/>
      <c r="P21" s="83"/>
      <c r="Q21" s="326"/>
    </row>
    <row r="22" spans="1:18">
      <c r="A22" s="322" t="s">
        <v>680</v>
      </c>
      <c r="B22" s="323" t="s">
        <v>681</v>
      </c>
      <c r="C22" s="324" t="s">
        <v>9</v>
      </c>
      <c r="D22" s="312">
        <f>(I23/200)*50+((2000/200)*50)</f>
        <v>4250</v>
      </c>
      <c r="E22" s="325">
        <v>13000</v>
      </c>
      <c r="F22" s="318">
        <f t="shared" si="0"/>
        <v>55250000</v>
      </c>
      <c r="H22" s="326">
        <f>'[34]Water Ret Qtys'!Q22</f>
        <v>36423</v>
      </c>
      <c r="I22" s="17">
        <v>37000</v>
      </c>
      <c r="L22" s="17">
        <v>14</v>
      </c>
      <c r="M22" s="17">
        <v>136</v>
      </c>
      <c r="N22" s="17">
        <f>+L22*M22*1.4</f>
        <v>2665.6</v>
      </c>
      <c r="O22" s="118">
        <v>6000</v>
      </c>
      <c r="P22" s="83">
        <f>1.2*0.6*14*400</f>
        <v>4032</v>
      </c>
      <c r="Q22" s="326">
        <f>+N22+O22+P22</f>
        <v>12697.6</v>
      </c>
      <c r="R22" s="249">
        <v>13000</v>
      </c>
    </row>
    <row r="23" spans="1:18">
      <c r="A23" s="322"/>
      <c r="B23" s="323"/>
      <c r="C23" s="324"/>
      <c r="D23" s="312"/>
      <c r="F23" s="318"/>
      <c r="H23" s="17">
        <f>H22*0.4</f>
        <v>14569.2</v>
      </c>
      <c r="I23" s="17">
        <v>15000</v>
      </c>
      <c r="J23" s="17">
        <v>1</v>
      </c>
      <c r="K23" s="1545" t="s">
        <v>19</v>
      </c>
      <c r="O23" s="118"/>
      <c r="P23" s="83"/>
      <c r="Q23" s="326"/>
    </row>
    <row r="24" spans="1:18">
      <c r="A24" s="322" t="s">
        <v>682</v>
      </c>
      <c r="B24" s="323" t="s">
        <v>683</v>
      </c>
      <c r="C24" s="324" t="s">
        <v>9</v>
      </c>
      <c r="D24" s="312">
        <f>(I24/800)*50</f>
        <v>1375</v>
      </c>
      <c r="E24" s="325">
        <v>18000</v>
      </c>
      <c r="F24" s="318">
        <f t="shared" si="0"/>
        <v>24750000</v>
      </c>
      <c r="H24" s="17">
        <f>H22*0.6</f>
        <v>21853.8</v>
      </c>
      <c r="I24" s="17">
        <v>22000</v>
      </c>
      <c r="K24" s="1545"/>
      <c r="L24" s="17">
        <v>14</v>
      </c>
      <c r="M24" s="17">
        <v>217</v>
      </c>
      <c r="N24" s="17">
        <f>+L24*M24*1.4</f>
        <v>4253.2</v>
      </c>
      <c r="O24" s="118">
        <v>9000</v>
      </c>
      <c r="P24" s="83">
        <f>1.2*0.6*14*400</f>
        <v>4032</v>
      </c>
      <c r="Q24" s="326">
        <f>+N24+O24+P24</f>
        <v>17285.2</v>
      </c>
      <c r="R24" s="249">
        <v>18000</v>
      </c>
    </row>
    <row r="25" spans="1:18" ht="13">
      <c r="A25" s="309"/>
      <c r="B25" s="315"/>
      <c r="C25" s="324"/>
      <c r="D25" s="312"/>
      <c r="E25" s="90"/>
      <c r="F25" s="318"/>
      <c r="I25" s="17">
        <v>14</v>
      </c>
      <c r="J25" s="17" t="s">
        <v>9</v>
      </c>
    </row>
    <row r="26" spans="1:18" ht="13">
      <c r="A26" s="314" t="s">
        <v>684</v>
      </c>
      <c r="B26" s="327" t="s">
        <v>685</v>
      </c>
      <c r="C26" s="328"/>
      <c r="D26" s="312"/>
      <c r="E26" s="329"/>
      <c r="F26" s="318"/>
      <c r="J26" s="17">
        <v>1</v>
      </c>
    </row>
    <row r="27" spans="1:18" ht="46">
      <c r="A27" s="322"/>
      <c r="B27" s="323" t="s">
        <v>686</v>
      </c>
      <c r="C27" s="328"/>
      <c r="D27" s="312"/>
      <c r="E27" s="329"/>
      <c r="F27" s="318"/>
      <c r="I27" s="97" t="s">
        <v>687</v>
      </c>
      <c r="J27" s="97">
        <f>1500*2+750*2</f>
        <v>4500</v>
      </c>
      <c r="K27" s="97">
        <f>+J27*2</f>
        <v>9000</v>
      </c>
    </row>
    <row r="28" spans="1:18">
      <c r="A28" s="322"/>
      <c r="B28" s="323"/>
      <c r="C28" s="328"/>
      <c r="D28" s="312"/>
      <c r="E28" s="329"/>
      <c r="F28" s="318"/>
      <c r="I28" s="17" t="s">
        <v>688</v>
      </c>
      <c r="J28" s="17" t="s">
        <v>689</v>
      </c>
      <c r="K28" s="17" t="s">
        <v>43</v>
      </c>
    </row>
    <row r="29" spans="1:18" hidden="1">
      <c r="A29" s="322" t="s">
        <v>690</v>
      </c>
      <c r="B29" s="323" t="s">
        <v>691</v>
      </c>
      <c r="C29" s="324" t="s">
        <v>43</v>
      </c>
      <c r="D29" s="312"/>
      <c r="E29" s="125">
        <v>840</v>
      </c>
      <c r="F29" s="318">
        <f>D29*E29</f>
        <v>0</v>
      </c>
      <c r="I29" s="330">
        <v>0.44908297356064664</v>
      </c>
      <c r="J29" s="331">
        <v>52</v>
      </c>
      <c r="K29" s="17">
        <f>5200*J29/100</f>
        <v>2704</v>
      </c>
      <c r="L29" s="17">
        <f>420*2</f>
        <v>840</v>
      </c>
      <c r="M29" s="17">
        <v>850</v>
      </c>
    </row>
    <row r="30" spans="1:18" hidden="1">
      <c r="A30" s="322"/>
      <c r="B30" s="323"/>
      <c r="C30" s="324"/>
      <c r="D30" s="312"/>
      <c r="F30" s="318"/>
      <c r="I30" s="330"/>
      <c r="J30" s="331"/>
    </row>
    <row r="31" spans="1:18" s="332" customFormat="1" hidden="1">
      <c r="A31" s="322" t="s">
        <v>692</v>
      </c>
      <c r="B31" s="323" t="s">
        <v>693</v>
      </c>
      <c r="C31" s="324" t="s">
        <v>43</v>
      </c>
      <c r="D31" s="312"/>
      <c r="E31" s="125">
        <v>1340</v>
      </c>
      <c r="F31" s="318">
        <f t="shared" ref="F31:F39" si="1">D31*E31</f>
        <v>0</v>
      </c>
      <c r="I31" s="333">
        <v>0.19068477610058929</v>
      </c>
      <c r="J31" s="331">
        <v>19</v>
      </c>
      <c r="K31" s="17">
        <f t="shared" ref="K31:K39" si="2">5200*J31/100</f>
        <v>988</v>
      </c>
      <c r="L31" s="17">
        <f>670*2</f>
        <v>1340</v>
      </c>
      <c r="M31" s="17">
        <v>1400</v>
      </c>
    </row>
    <row r="32" spans="1:18" s="332" customFormat="1" hidden="1">
      <c r="A32" s="322"/>
      <c r="B32" s="323"/>
      <c r="C32" s="324"/>
      <c r="D32" s="312"/>
      <c r="E32" s="334"/>
      <c r="F32" s="318"/>
      <c r="I32" s="333"/>
      <c r="J32" s="335"/>
      <c r="K32" s="17"/>
    </row>
    <row r="33" spans="1:13" s="332" customFormat="1" ht="12.75" customHeight="1">
      <c r="A33" s="322" t="s">
        <v>694</v>
      </c>
      <c r="B33" s="323" t="s">
        <v>695</v>
      </c>
      <c r="C33" s="324" t="s">
        <v>43</v>
      </c>
      <c r="D33" s="312">
        <v>255</v>
      </c>
      <c r="E33" s="334">
        <v>1500</v>
      </c>
      <c r="F33" s="318">
        <f t="shared" si="1"/>
        <v>382500</v>
      </c>
      <c r="I33" s="333">
        <v>6.8351558314688185E-2</v>
      </c>
      <c r="J33" s="331">
        <v>7</v>
      </c>
      <c r="K33" s="17">
        <f t="shared" si="2"/>
        <v>364</v>
      </c>
      <c r="L33" s="332">
        <f>750*2</f>
        <v>1500</v>
      </c>
      <c r="M33" s="332">
        <v>1500</v>
      </c>
    </row>
    <row r="34" spans="1:13" s="332" customFormat="1" ht="12.75" customHeight="1">
      <c r="A34" s="322"/>
      <c r="B34" s="323"/>
      <c r="C34" s="324"/>
      <c r="D34" s="312"/>
      <c r="E34" s="334"/>
      <c r="F34" s="318"/>
      <c r="I34" s="333"/>
      <c r="J34" s="335"/>
      <c r="K34" s="17"/>
    </row>
    <row r="35" spans="1:13" ht="15" customHeight="1">
      <c r="A35" s="322" t="s">
        <v>696</v>
      </c>
      <c r="B35" s="323" t="s">
        <v>697</v>
      </c>
      <c r="C35" s="324" t="s">
        <v>43</v>
      </c>
      <c r="D35" s="312">
        <v>120</v>
      </c>
      <c r="E35" s="125">
        <v>3750</v>
      </c>
      <c r="F35" s="318">
        <f t="shared" si="1"/>
        <v>450000</v>
      </c>
      <c r="I35" s="330">
        <v>0.12000126051744241</v>
      </c>
      <c r="J35" s="331">
        <v>12</v>
      </c>
      <c r="K35" s="17">
        <f t="shared" si="2"/>
        <v>624</v>
      </c>
      <c r="L35" s="17">
        <f>2500*1.5</f>
        <v>3750</v>
      </c>
      <c r="M35" s="17">
        <v>4000</v>
      </c>
    </row>
    <row r="36" spans="1:13" ht="15" customHeight="1">
      <c r="A36" s="322"/>
      <c r="B36" s="323"/>
      <c r="C36" s="324"/>
      <c r="D36" s="312"/>
      <c r="F36" s="318"/>
      <c r="I36" s="330"/>
      <c r="J36" s="331"/>
    </row>
    <row r="37" spans="1:13">
      <c r="A37" s="322" t="s">
        <v>698</v>
      </c>
      <c r="B37" s="323" t="s">
        <v>699</v>
      </c>
      <c r="C37" s="324" t="s">
        <v>43</v>
      </c>
      <c r="D37" s="312">
        <v>232</v>
      </c>
      <c r="E37" s="125">
        <v>13500</v>
      </c>
      <c r="F37" s="318">
        <f t="shared" si="1"/>
        <v>3132000</v>
      </c>
      <c r="I37" s="330">
        <v>0.12099391800334038</v>
      </c>
      <c r="J37" s="331">
        <v>8</v>
      </c>
      <c r="K37" s="17">
        <f t="shared" si="2"/>
        <v>416</v>
      </c>
      <c r="L37" s="17">
        <f>9000*1.5</f>
        <v>13500</v>
      </c>
      <c r="M37" s="17">
        <v>13500</v>
      </c>
    </row>
    <row r="38" spans="1:13">
      <c r="A38" s="322"/>
      <c r="B38" s="323"/>
      <c r="C38" s="324"/>
      <c r="D38" s="312"/>
      <c r="F38" s="318"/>
      <c r="I38" s="330"/>
      <c r="J38" s="331"/>
    </row>
    <row r="39" spans="1:13">
      <c r="A39" s="322" t="s">
        <v>700</v>
      </c>
      <c r="B39" s="323" t="s">
        <v>701</v>
      </c>
      <c r="C39" s="324" t="s">
        <v>43</v>
      </c>
      <c r="D39" s="312">
        <v>104</v>
      </c>
      <c r="E39" s="125">
        <v>24000</v>
      </c>
      <c r="F39" s="318">
        <f t="shared" si="1"/>
        <v>2496000</v>
      </c>
      <c r="I39" s="330">
        <v>5.0885513503293102E-2</v>
      </c>
      <c r="J39" s="331">
        <v>2</v>
      </c>
      <c r="K39" s="17">
        <f t="shared" si="2"/>
        <v>104</v>
      </c>
      <c r="M39" s="17">
        <v>24000</v>
      </c>
    </row>
    <row r="40" spans="1:13">
      <c r="A40" s="322"/>
      <c r="B40" s="336"/>
      <c r="C40" s="324"/>
      <c r="D40" s="312"/>
      <c r="E40" s="329"/>
      <c r="F40" s="318"/>
    </row>
    <row r="41" spans="1:13">
      <c r="A41" s="322"/>
      <c r="B41" s="336"/>
      <c r="C41" s="324"/>
      <c r="D41" s="312"/>
      <c r="E41" s="329"/>
      <c r="F41" s="318"/>
    </row>
    <row r="42" spans="1:13">
      <c r="A42" s="322"/>
      <c r="B42" s="336"/>
      <c r="C42" s="324"/>
      <c r="D42" s="312"/>
      <c r="E42" s="329"/>
      <c r="F42" s="318"/>
    </row>
    <row r="43" spans="1:13">
      <c r="A43" s="322"/>
      <c r="B43" s="336"/>
      <c r="C43" s="324"/>
      <c r="D43" s="312"/>
      <c r="E43" s="329"/>
      <c r="F43" s="318"/>
    </row>
    <row r="44" spans="1:13">
      <c r="A44" s="322"/>
      <c r="B44" s="336"/>
      <c r="C44" s="324"/>
      <c r="D44" s="312"/>
      <c r="E44" s="329"/>
      <c r="F44" s="318"/>
    </row>
    <row r="45" spans="1:13">
      <c r="A45" s="322"/>
      <c r="B45" s="336"/>
      <c r="C45" s="324"/>
      <c r="D45" s="312"/>
      <c r="E45" s="329"/>
      <c r="F45" s="318"/>
    </row>
    <row r="46" spans="1:13" ht="14.5" thickBot="1">
      <c r="A46" s="337"/>
      <c r="B46" s="338"/>
      <c r="C46" s="324"/>
      <c r="D46" s="339"/>
      <c r="E46" s="329"/>
      <c r="F46" s="318"/>
    </row>
    <row r="47" spans="1:13" s="3" customFormat="1" ht="13" thickTop="1">
      <c r="A47" s="15"/>
      <c r="B47" s="10"/>
      <c r="C47" s="104"/>
      <c r="D47" s="340"/>
      <c r="E47" s="341"/>
      <c r="F47" s="342"/>
    </row>
    <row r="48" spans="1:13" s="3" customFormat="1" ht="13">
      <c r="A48" s="106"/>
      <c r="B48" s="107" t="s">
        <v>301</v>
      </c>
      <c r="C48" s="108"/>
      <c r="D48" s="343"/>
      <c r="E48" s="344"/>
      <c r="F48" s="345">
        <f>SUM(F5:F47)</f>
        <v>86460500</v>
      </c>
    </row>
    <row r="49" spans="1:6" s="3" customFormat="1" ht="13" thickBot="1">
      <c r="A49" s="12"/>
      <c r="B49" s="110"/>
      <c r="C49" s="111"/>
      <c r="D49" s="346"/>
      <c r="E49" s="347"/>
      <c r="F49" s="348"/>
    </row>
    <row r="50" spans="1:6" ht="13.5" thickTop="1">
      <c r="A50" s="197"/>
      <c r="B50" s="1544"/>
      <c r="C50" s="1544"/>
      <c r="D50" s="1544"/>
      <c r="E50" s="1544"/>
      <c r="F50" s="349"/>
    </row>
    <row r="51" spans="1:6" ht="12.75" customHeight="1">
      <c r="A51" s="1542" t="str">
        <f>A2</f>
        <v>BILL 9 - CONSUMER CONNECTIONS</v>
      </c>
      <c r="B51" s="1542"/>
      <c r="C51" s="1542"/>
      <c r="D51" s="1542"/>
      <c r="E51" s="1542"/>
      <c r="F51" s="1542"/>
    </row>
    <row r="52" spans="1:6" ht="13" thickBot="1">
      <c r="A52" s="9"/>
      <c r="D52" s="302"/>
      <c r="E52" s="303"/>
    </row>
    <row r="53" spans="1:6" ht="27" thickTop="1" thickBot="1">
      <c r="A53" s="13" t="s">
        <v>659</v>
      </c>
      <c r="B53" s="129" t="s">
        <v>5</v>
      </c>
      <c r="C53" s="129" t="s">
        <v>6</v>
      </c>
      <c r="D53" s="304" t="s">
        <v>1</v>
      </c>
      <c r="E53" s="84" t="s">
        <v>7</v>
      </c>
      <c r="F53" s="305" t="s">
        <v>8</v>
      </c>
    </row>
    <row r="54" spans="1:6" ht="13" thickTop="1">
      <c r="A54" s="5"/>
      <c r="B54" s="115"/>
      <c r="C54" s="86"/>
      <c r="D54" s="306"/>
      <c r="E54" s="90"/>
      <c r="F54" s="318"/>
    </row>
    <row r="55" spans="1:6" ht="13">
      <c r="A55" s="309" t="s">
        <v>702</v>
      </c>
      <c r="B55" s="327" t="s">
        <v>703</v>
      </c>
      <c r="C55" s="324"/>
      <c r="D55" s="312"/>
      <c r="E55" s="329"/>
      <c r="F55" s="318"/>
    </row>
    <row r="56" spans="1:6" ht="13">
      <c r="A56" s="309"/>
      <c r="B56" s="327"/>
      <c r="C56" s="324"/>
      <c r="D56" s="312"/>
      <c r="E56" s="329"/>
      <c r="F56" s="318"/>
    </row>
    <row r="57" spans="1:6" ht="69">
      <c r="A57" s="322"/>
      <c r="B57" s="323" t="s">
        <v>704</v>
      </c>
      <c r="C57" s="324"/>
      <c r="D57" s="312"/>
      <c r="E57" s="329"/>
      <c r="F57" s="318"/>
    </row>
    <row r="58" spans="1:6">
      <c r="A58" s="322"/>
      <c r="B58" s="323"/>
      <c r="C58" s="324"/>
      <c r="D58" s="312"/>
      <c r="E58" s="329"/>
      <c r="F58" s="318"/>
    </row>
    <row r="59" spans="1:6" hidden="1">
      <c r="A59" s="350" t="s">
        <v>705</v>
      </c>
      <c r="B59" s="323" t="s">
        <v>706</v>
      </c>
      <c r="C59" s="324" t="s">
        <v>43</v>
      </c>
      <c r="D59" s="312"/>
      <c r="E59" s="329">
        <v>11000</v>
      </c>
      <c r="F59" s="318">
        <f>D59*E59</f>
        <v>0</v>
      </c>
    </row>
    <row r="60" spans="1:6" hidden="1">
      <c r="A60" s="322"/>
      <c r="B60" s="323"/>
      <c r="C60" s="324"/>
      <c r="D60" s="312"/>
      <c r="E60" s="329"/>
      <c r="F60" s="351"/>
    </row>
    <row r="61" spans="1:6" hidden="1">
      <c r="A61" s="350" t="s">
        <v>707</v>
      </c>
      <c r="B61" s="323" t="s">
        <v>708</v>
      </c>
      <c r="C61" s="324" t="s">
        <v>43</v>
      </c>
      <c r="D61" s="312"/>
      <c r="E61" s="329">
        <v>11000</v>
      </c>
      <c r="F61" s="318">
        <f>D61*E61</f>
        <v>0</v>
      </c>
    </row>
    <row r="62" spans="1:6" hidden="1">
      <c r="A62" s="322"/>
      <c r="B62" s="323"/>
      <c r="C62" s="324"/>
      <c r="D62" s="312"/>
      <c r="E62" s="329"/>
      <c r="F62" s="351"/>
    </row>
    <row r="63" spans="1:6" hidden="1">
      <c r="A63" s="350" t="s">
        <v>709</v>
      </c>
      <c r="B63" s="323" t="s">
        <v>710</v>
      </c>
      <c r="C63" s="324" t="s">
        <v>43</v>
      </c>
      <c r="D63" s="312"/>
      <c r="E63" s="329">
        <v>11000</v>
      </c>
      <c r="F63" s="318">
        <f>D63*E63</f>
        <v>0</v>
      </c>
    </row>
    <row r="64" spans="1:6">
      <c r="A64" s="322"/>
      <c r="B64" s="323"/>
      <c r="C64" s="324"/>
      <c r="D64" s="312"/>
      <c r="E64" s="329"/>
      <c r="F64" s="318"/>
    </row>
    <row r="65" spans="1:11">
      <c r="A65" s="350" t="s">
        <v>711</v>
      </c>
      <c r="B65" s="323" t="s">
        <v>712</v>
      </c>
      <c r="C65" s="324" t="s">
        <v>43</v>
      </c>
      <c r="D65" s="312">
        <v>355</v>
      </c>
      <c r="E65" s="329">
        <v>11000</v>
      </c>
      <c r="F65" s="318">
        <f>D65*E65</f>
        <v>3905000</v>
      </c>
    </row>
    <row r="66" spans="1:11">
      <c r="A66" s="322"/>
      <c r="B66" s="323"/>
      <c r="C66" s="324"/>
      <c r="D66" s="312"/>
      <c r="E66" s="329"/>
      <c r="F66" s="351"/>
    </row>
    <row r="67" spans="1:11">
      <c r="A67" s="350" t="s">
        <v>713</v>
      </c>
      <c r="B67" s="323" t="s">
        <v>714</v>
      </c>
      <c r="C67" s="324" t="s">
        <v>43</v>
      </c>
      <c r="D67" s="312">
        <v>255</v>
      </c>
      <c r="E67" s="329">
        <v>11000</v>
      </c>
      <c r="F67" s="318">
        <f>D67*E67</f>
        <v>2805000</v>
      </c>
    </row>
    <row r="68" spans="1:11">
      <c r="A68" s="322"/>
      <c r="B68" s="315"/>
      <c r="C68" s="324"/>
      <c r="D68" s="312"/>
      <c r="E68" s="329"/>
      <c r="F68" s="351"/>
    </row>
    <row r="69" spans="1:11" s="353" customFormat="1" ht="12.75" customHeight="1">
      <c r="A69" s="309" t="s">
        <v>715</v>
      </c>
      <c r="B69" s="352" t="s">
        <v>372</v>
      </c>
      <c r="C69" s="324"/>
      <c r="D69" s="312"/>
      <c r="E69" s="329"/>
      <c r="F69" s="318"/>
      <c r="G69" s="17"/>
    </row>
    <row r="70" spans="1:11" s="332" customFormat="1" ht="12.75" customHeight="1">
      <c r="A70" s="322"/>
      <c r="B70" s="323"/>
      <c r="C70" s="324"/>
      <c r="D70" s="312"/>
      <c r="E70" s="329"/>
      <c r="F70" s="318"/>
      <c r="G70" s="17"/>
    </row>
    <row r="71" spans="1:11" ht="34.5">
      <c r="A71" s="322" t="s">
        <v>716</v>
      </c>
      <c r="B71" s="323" t="s">
        <v>717</v>
      </c>
      <c r="C71" s="354" t="s">
        <v>43</v>
      </c>
      <c r="D71" s="355">
        <v>352</v>
      </c>
      <c r="E71" s="355">
        <v>2000</v>
      </c>
      <c r="F71" s="356">
        <f>D71*E71</f>
        <v>704000</v>
      </c>
    </row>
    <row r="72" spans="1:11" s="332" customFormat="1" ht="12.75" customHeight="1">
      <c r="A72" s="322"/>
      <c r="B72" s="323"/>
      <c r="C72" s="354"/>
      <c r="D72" s="355"/>
      <c r="E72" s="355"/>
      <c r="F72" s="356"/>
    </row>
    <row r="73" spans="1:11" ht="34.5">
      <c r="A73" s="322" t="s">
        <v>718</v>
      </c>
      <c r="B73" s="323" t="s">
        <v>719</v>
      </c>
      <c r="C73" s="354" t="s">
        <v>43</v>
      </c>
      <c r="D73" s="355">
        <v>250</v>
      </c>
      <c r="E73" s="355">
        <v>1000</v>
      </c>
      <c r="F73" s="356">
        <f>D73*E73</f>
        <v>250000</v>
      </c>
    </row>
    <row r="74" spans="1:11" s="332" customFormat="1" ht="12.75" customHeight="1">
      <c r="A74" s="322"/>
      <c r="B74" s="323"/>
      <c r="C74" s="354"/>
      <c r="D74" s="355"/>
      <c r="E74" s="355"/>
      <c r="F74" s="356"/>
    </row>
    <row r="75" spans="1:11" ht="34.5">
      <c r="A75" s="322" t="s">
        <v>720</v>
      </c>
      <c r="B75" s="323" t="s">
        <v>721</v>
      </c>
      <c r="C75" s="354" t="s">
        <v>43</v>
      </c>
      <c r="D75" s="355">
        <v>353</v>
      </c>
      <c r="E75" s="355">
        <v>2000</v>
      </c>
      <c r="F75" s="356">
        <f>D75*E75</f>
        <v>706000</v>
      </c>
    </row>
    <row r="76" spans="1:11">
      <c r="A76" s="322"/>
      <c r="B76" s="323"/>
      <c r="C76" s="324"/>
      <c r="D76" s="312"/>
      <c r="E76" s="303"/>
      <c r="F76" s="357"/>
    </row>
    <row r="77" spans="1:11" s="332" customFormat="1" ht="12.75" customHeight="1">
      <c r="A77" s="309" t="s">
        <v>722</v>
      </c>
      <c r="B77" s="352" t="s">
        <v>391</v>
      </c>
      <c r="C77" s="354"/>
      <c r="D77" s="355"/>
      <c r="E77" s="355"/>
      <c r="F77" s="356"/>
    </row>
    <row r="78" spans="1:11" s="246" customFormat="1" ht="12.75" customHeight="1">
      <c r="A78" s="212"/>
      <c r="B78" s="215"/>
      <c r="C78" s="209"/>
      <c r="D78" s="214"/>
      <c r="E78" s="214"/>
      <c r="F78" s="356"/>
    </row>
    <row r="79" spans="1:11" s="246" customFormat="1" ht="87.5">
      <c r="A79" s="212" t="s">
        <v>723</v>
      </c>
      <c r="B79" s="215" t="s">
        <v>724</v>
      </c>
      <c r="C79" s="209" t="s">
        <v>9</v>
      </c>
      <c r="D79" s="214">
        <f>D71*15</f>
        <v>5280</v>
      </c>
      <c r="E79" s="214">
        <v>1500</v>
      </c>
      <c r="F79" s="356">
        <f>D79*E79</f>
        <v>7920000</v>
      </c>
      <c r="J79" s="246">
        <f>23*7</f>
        <v>161</v>
      </c>
      <c r="K79" s="246">
        <f>5*7</f>
        <v>35</v>
      </c>
    </row>
    <row r="80" spans="1:11" s="246" customFormat="1" ht="12.75" customHeight="1">
      <c r="A80" s="212"/>
      <c r="B80" s="215"/>
      <c r="C80" s="209"/>
      <c r="D80" s="214"/>
      <c r="E80" s="214"/>
      <c r="F80" s="356"/>
    </row>
    <row r="81" spans="1:6" ht="46">
      <c r="A81" s="322" t="s">
        <v>723</v>
      </c>
      <c r="B81" s="323" t="s">
        <v>725</v>
      </c>
      <c r="C81" s="354" t="s">
        <v>9</v>
      </c>
      <c r="D81" s="355">
        <f>D73*7</f>
        <v>1750</v>
      </c>
      <c r="E81" s="355">
        <v>5000</v>
      </c>
      <c r="F81" s="356">
        <f>D81*E81</f>
        <v>8750000</v>
      </c>
    </row>
    <row r="82" spans="1:6" s="246" customFormat="1" ht="12.75" customHeight="1">
      <c r="A82" s="212"/>
      <c r="B82" s="215"/>
      <c r="C82" s="209"/>
      <c r="D82" s="214"/>
      <c r="E82" s="214"/>
      <c r="F82" s="357"/>
    </row>
    <row r="83" spans="1:6" s="246" customFormat="1" ht="12.75" customHeight="1">
      <c r="A83" s="212"/>
      <c r="B83" s="215"/>
      <c r="C83" s="209"/>
      <c r="D83" s="214"/>
      <c r="E83" s="363"/>
      <c r="F83" s="357"/>
    </row>
    <row r="84" spans="1:6">
      <c r="A84" s="322"/>
      <c r="B84" s="323"/>
      <c r="C84" s="324"/>
      <c r="D84" s="312"/>
      <c r="E84" s="303"/>
      <c r="F84" s="357"/>
    </row>
    <row r="85" spans="1:6">
      <c r="A85" s="322"/>
      <c r="B85" s="323"/>
      <c r="C85" s="324"/>
      <c r="D85" s="312"/>
      <c r="E85" s="303"/>
      <c r="F85" s="357"/>
    </row>
    <row r="86" spans="1:6">
      <c r="A86" s="322"/>
      <c r="B86" s="358"/>
      <c r="C86" s="324"/>
      <c r="D86" s="312"/>
      <c r="E86" s="303"/>
      <c r="F86" s="357"/>
    </row>
    <row r="87" spans="1:6">
      <c r="A87" s="322"/>
      <c r="B87" s="323"/>
      <c r="C87" s="324"/>
      <c r="D87" s="312"/>
      <c r="E87" s="303"/>
      <c r="F87" s="357"/>
    </row>
    <row r="88" spans="1:6">
      <c r="A88" s="322"/>
      <c r="B88" s="323"/>
      <c r="C88" s="324"/>
      <c r="D88" s="312"/>
      <c r="E88" s="303"/>
      <c r="F88" s="357"/>
    </row>
    <row r="89" spans="1:6">
      <c r="A89" s="322"/>
      <c r="B89" s="323"/>
      <c r="C89" s="324"/>
      <c r="D89" s="312"/>
      <c r="E89" s="303"/>
      <c r="F89" s="357"/>
    </row>
    <row r="90" spans="1:6">
      <c r="A90" s="6"/>
      <c r="B90" s="151"/>
      <c r="C90" s="116"/>
      <c r="D90" s="359"/>
      <c r="E90" s="303"/>
      <c r="F90" s="357"/>
    </row>
    <row r="91" spans="1:6">
      <c r="A91" s="6"/>
      <c r="B91" s="151"/>
      <c r="C91" s="116"/>
      <c r="D91" s="359"/>
      <c r="E91" s="329"/>
      <c r="F91" s="351"/>
    </row>
    <row r="92" spans="1:6" ht="13" thickBot="1">
      <c r="A92" s="6"/>
      <c r="B92" s="151"/>
      <c r="C92" s="116"/>
      <c r="D92" s="359"/>
      <c r="E92" s="329"/>
      <c r="F92" s="351"/>
    </row>
    <row r="93" spans="1:6" s="3" customFormat="1" ht="13" thickTop="1">
      <c r="A93" s="15"/>
      <c r="B93" s="10"/>
      <c r="C93" s="104"/>
      <c r="D93" s="340"/>
      <c r="E93" s="341"/>
      <c r="F93" s="342"/>
    </row>
    <row r="94" spans="1:6" s="3" customFormat="1" ht="13">
      <c r="A94" s="106"/>
      <c r="B94" s="107" t="s">
        <v>301</v>
      </c>
      <c r="C94" s="108"/>
      <c r="D94" s="343"/>
      <c r="E94" s="344"/>
      <c r="F94" s="345">
        <f>SUM(F54:F93)</f>
        <v>25040000</v>
      </c>
    </row>
    <row r="95" spans="1:6" s="3" customFormat="1" ht="13" thickBot="1">
      <c r="A95" s="12"/>
      <c r="B95" s="110"/>
      <c r="C95" s="111"/>
      <c r="D95" s="346"/>
      <c r="E95" s="347"/>
      <c r="F95" s="348"/>
    </row>
    <row r="96" spans="1:6" ht="13.5" thickTop="1">
      <c r="A96" s="197"/>
      <c r="B96" s="1544"/>
      <c r="C96" s="1544"/>
      <c r="D96" s="1544"/>
      <c r="E96" s="1544"/>
      <c r="F96" s="349"/>
    </row>
    <row r="97" spans="1:6" ht="12.75" customHeight="1">
      <c r="A97" s="1542" t="str">
        <f>A51</f>
        <v>BILL 9 - CONSUMER CONNECTIONS</v>
      </c>
      <c r="B97" s="1542"/>
      <c r="C97" s="1542"/>
      <c r="D97" s="1542"/>
      <c r="E97" s="1542"/>
      <c r="F97" s="1542"/>
    </row>
    <row r="98" spans="1:6" ht="13" thickBot="1">
      <c r="A98" s="9"/>
      <c r="D98" s="302"/>
      <c r="E98" s="303"/>
    </row>
    <row r="99" spans="1:6" ht="27" thickTop="1" thickBot="1">
      <c r="A99" s="13" t="s">
        <v>21</v>
      </c>
      <c r="B99" s="129" t="s">
        <v>5</v>
      </c>
      <c r="C99" s="129" t="s">
        <v>6</v>
      </c>
      <c r="D99" s="304" t="s">
        <v>1</v>
      </c>
      <c r="E99" s="84" t="s">
        <v>7</v>
      </c>
      <c r="F99" s="305" t="s">
        <v>8</v>
      </c>
    </row>
    <row r="100" spans="1:6" ht="13" thickTop="1">
      <c r="A100" s="5"/>
      <c r="B100" s="115"/>
      <c r="C100" s="86"/>
      <c r="D100" s="306"/>
      <c r="E100" s="90"/>
      <c r="F100" s="318"/>
    </row>
    <row r="101" spans="1:6">
      <c r="A101" s="5"/>
      <c r="B101" s="115"/>
      <c r="C101" s="86"/>
      <c r="D101" s="306"/>
      <c r="E101" s="90"/>
      <c r="F101" s="318"/>
    </row>
    <row r="102" spans="1:6" ht="13">
      <c r="A102" s="11"/>
      <c r="B102" s="62" t="s">
        <v>726</v>
      </c>
      <c r="C102" s="63"/>
      <c r="D102" s="360"/>
      <c r="E102" s="89"/>
      <c r="F102" s="361"/>
    </row>
    <row r="103" spans="1:6" ht="13">
      <c r="A103" s="14"/>
      <c r="B103" s="85"/>
      <c r="C103" s="58"/>
      <c r="D103" s="360"/>
      <c r="E103" s="89"/>
      <c r="F103" s="362"/>
    </row>
    <row r="104" spans="1:6" ht="13">
      <c r="A104" s="14"/>
      <c r="B104" s="59" t="s">
        <v>78</v>
      </c>
      <c r="C104" s="58"/>
      <c r="D104" s="360"/>
      <c r="E104" s="89"/>
      <c r="F104" s="362">
        <f>+F48</f>
        <v>86460500</v>
      </c>
    </row>
    <row r="105" spans="1:6" ht="13">
      <c r="A105" s="14"/>
      <c r="B105" s="59"/>
      <c r="C105" s="58"/>
      <c r="D105" s="360"/>
      <c r="E105" s="89"/>
      <c r="F105" s="362"/>
    </row>
    <row r="106" spans="1:6" ht="13">
      <c r="A106" s="14"/>
      <c r="B106" s="59" t="s">
        <v>79</v>
      </c>
      <c r="C106" s="58"/>
      <c r="D106" s="360"/>
      <c r="E106" s="89"/>
      <c r="F106" s="362">
        <f>+F94</f>
        <v>25040000</v>
      </c>
    </row>
    <row r="107" spans="1:6" ht="13">
      <c r="A107" s="14"/>
      <c r="B107" s="59"/>
      <c r="C107" s="58"/>
      <c r="D107" s="360"/>
      <c r="E107" s="89"/>
      <c r="F107" s="362"/>
    </row>
    <row r="108" spans="1:6" ht="13">
      <c r="A108" s="14"/>
      <c r="B108" s="59"/>
      <c r="C108" s="58"/>
      <c r="D108" s="360"/>
      <c r="E108" s="89"/>
      <c r="F108" s="362"/>
    </row>
    <row r="109" spans="1:6" ht="13">
      <c r="A109" s="14"/>
      <c r="B109" s="59"/>
      <c r="C109" s="58"/>
      <c r="D109" s="360"/>
      <c r="E109" s="89"/>
      <c r="F109" s="362"/>
    </row>
    <row r="110" spans="1:6" ht="13">
      <c r="A110" s="14"/>
      <c r="B110" s="59"/>
      <c r="C110" s="58"/>
      <c r="D110" s="360"/>
      <c r="E110" s="89"/>
      <c r="F110" s="362"/>
    </row>
    <row r="111" spans="1:6" ht="13">
      <c r="A111" s="14"/>
      <c r="B111" s="59"/>
      <c r="C111" s="58"/>
      <c r="D111" s="360"/>
      <c r="E111" s="89"/>
      <c r="F111" s="362"/>
    </row>
    <row r="112" spans="1:6" ht="13">
      <c r="A112" s="14"/>
      <c r="B112" s="59"/>
      <c r="C112" s="58"/>
      <c r="D112" s="360"/>
      <c r="E112" s="89"/>
      <c r="F112" s="362"/>
    </row>
    <row r="113" spans="1:6" ht="13">
      <c r="A113" s="14"/>
      <c r="B113" s="59"/>
      <c r="C113" s="58"/>
      <c r="D113" s="360"/>
      <c r="E113" s="89"/>
      <c r="F113" s="362"/>
    </row>
    <row r="114" spans="1:6" ht="13">
      <c r="A114" s="14"/>
      <c r="B114" s="85"/>
      <c r="C114" s="58"/>
      <c r="D114" s="360"/>
      <c r="E114" s="89"/>
      <c r="F114" s="362"/>
    </row>
    <row r="115" spans="1:6" ht="13">
      <c r="A115" s="14"/>
      <c r="B115" s="85"/>
      <c r="C115" s="58"/>
      <c r="D115" s="360"/>
      <c r="E115" s="89"/>
      <c r="F115" s="362"/>
    </row>
    <row r="116" spans="1:6" ht="13">
      <c r="A116" s="14"/>
      <c r="B116" s="85"/>
      <c r="C116" s="58"/>
      <c r="D116" s="360"/>
      <c r="E116" s="89"/>
      <c r="F116" s="362"/>
    </row>
    <row r="117" spans="1:6" ht="13">
      <c r="A117" s="14"/>
      <c r="B117" s="85"/>
      <c r="C117" s="58"/>
      <c r="D117" s="360"/>
      <c r="E117" s="89"/>
      <c r="F117" s="362"/>
    </row>
    <row r="118" spans="1:6" ht="13">
      <c r="A118" s="14"/>
      <c r="B118" s="85"/>
      <c r="C118" s="58"/>
      <c r="D118" s="360"/>
      <c r="E118" s="89"/>
      <c r="F118" s="362"/>
    </row>
    <row r="119" spans="1:6" ht="13">
      <c r="A119" s="14"/>
      <c r="B119" s="85"/>
      <c r="C119" s="58"/>
      <c r="D119" s="360"/>
      <c r="E119" s="89"/>
      <c r="F119" s="362"/>
    </row>
    <row r="120" spans="1:6" ht="13">
      <c r="A120" s="14"/>
      <c r="B120" s="85"/>
      <c r="C120" s="58"/>
      <c r="D120" s="360"/>
      <c r="E120" s="89"/>
      <c r="F120" s="362"/>
    </row>
    <row r="121" spans="1:6" ht="13">
      <c r="A121" s="14"/>
      <c r="B121" s="85"/>
      <c r="C121" s="58"/>
      <c r="D121" s="360"/>
      <c r="E121" s="89"/>
      <c r="F121" s="362"/>
    </row>
    <row r="122" spans="1:6" ht="13">
      <c r="A122" s="14"/>
      <c r="B122" s="85"/>
      <c r="C122" s="58"/>
      <c r="D122" s="360"/>
      <c r="E122" s="89"/>
      <c r="F122" s="362"/>
    </row>
    <row r="123" spans="1:6" ht="13">
      <c r="A123" s="14"/>
      <c r="B123" s="85"/>
      <c r="C123" s="58"/>
      <c r="D123" s="360"/>
      <c r="E123" s="89"/>
      <c r="F123" s="362"/>
    </row>
    <row r="124" spans="1:6" ht="13">
      <c r="A124" s="14"/>
      <c r="B124" s="85"/>
      <c r="C124" s="58"/>
      <c r="D124" s="360"/>
      <c r="E124" s="89"/>
      <c r="F124" s="362"/>
    </row>
    <row r="125" spans="1:6" ht="13">
      <c r="A125" s="14"/>
      <c r="B125" s="85"/>
      <c r="C125" s="58"/>
      <c r="D125" s="360"/>
      <c r="E125" s="89"/>
      <c r="F125" s="362"/>
    </row>
    <row r="126" spans="1:6" ht="13">
      <c r="A126" s="14"/>
      <c r="B126" s="85"/>
      <c r="C126" s="58"/>
      <c r="D126" s="360"/>
      <c r="E126" s="89"/>
      <c r="F126" s="362"/>
    </row>
    <row r="127" spans="1:6" ht="13">
      <c r="A127" s="14"/>
      <c r="B127" s="85"/>
      <c r="C127" s="58"/>
      <c r="D127" s="360"/>
      <c r="E127" s="89"/>
      <c r="F127" s="362"/>
    </row>
    <row r="128" spans="1:6" ht="13">
      <c r="A128" s="14"/>
      <c r="B128" s="85"/>
      <c r="C128" s="58"/>
      <c r="D128" s="360"/>
      <c r="E128" s="89"/>
      <c r="F128" s="362"/>
    </row>
    <row r="129" spans="1:6" ht="13">
      <c r="A129" s="14"/>
      <c r="B129" s="85"/>
      <c r="C129" s="58"/>
      <c r="D129" s="360"/>
      <c r="E129" s="89"/>
      <c r="F129" s="362"/>
    </row>
    <row r="130" spans="1:6" ht="13">
      <c r="A130" s="14"/>
      <c r="B130" s="85"/>
      <c r="C130" s="58"/>
      <c r="D130" s="360"/>
      <c r="E130" s="89"/>
      <c r="F130" s="362"/>
    </row>
    <row r="131" spans="1:6" ht="13">
      <c r="A131" s="14"/>
      <c r="B131" s="85"/>
      <c r="C131" s="58"/>
      <c r="D131" s="360"/>
      <c r="E131" s="89"/>
      <c r="F131" s="362"/>
    </row>
    <row r="132" spans="1:6" ht="13">
      <c r="A132" s="14"/>
      <c r="B132" s="85"/>
      <c r="C132" s="58"/>
      <c r="D132" s="360"/>
      <c r="E132" s="89"/>
      <c r="F132" s="362"/>
    </row>
    <row r="133" spans="1:6" ht="13">
      <c r="A133" s="14"/>
      <c r="B133" s="85"/>
      <c r="C133" s="58"/>
      <c r="D133" s="360"/>
      <c r="E133" s="89"/>
      <c r="F133" s="362"/>
    </row>
    <row r="134" spans="1:6" ht="13">
      <c r="A134" s="14"/>
      <c r="B134" s="85"/>
      <c r="C134" s="58"/>
      <c r="D134" s="360"/>
      <c r="E134" s="89"/>
      <c r="F134" s="362"/>
    </row>
    <row r="135" spans="1:6" ht="13">
      <c r="A135" s="14"/>
      <c r="B135" s="85"/>
      <c r="C135" s="58"/>
      <c r="D135" s="360"/>
      <c r="E135" s="89"/>
      <c r="F135" s="362"/>
    </row>
    <row r="136" spans="1:6" ht="13">
      <c r="A136" s="14"/>
      <c r="B136" s="85"/>
      <c r="C136" s="58"/>
      <c r="D136" s="360"/>
      <c r="E136" s="89"/>
      <c r="F136" s="362"/>
    </row>
    <row r="137" spans="1:6" ht="13">
      <c r="A137" s="14"/>
      <c r="B137" s="85"/>
      <c r="C137" s="58"/>
      <c r="D137" s="360"/>
      <c r="E137" s="89"/>
      <c r="F137" s="362"/>
    </row>
    <row r="138" spans="1:6" ht="13">
      <c r="A138" s="14"/>
      <c r="B138" s="85"/>
      <c r="C138" s="58"/>
      <c r="D138" s="360"/>
      <c r="E138" s="89"/>
      <c r="F138" s="362"/>
    </row>
    <row r="139" spans="1:6" ht="13">
      <c r="A139" s="14"/>
      <c r="B139" s="85"/>
      <c r="C139" s="58"/>
      <c r="D139" s="360"/>
      <c r="E139" s="89"/>
      <c r="F139" s="362"/>
    </row>
    <row r="140" spans="1:6" ht="13">
      <c r="A140" s="14"/>
      <c r="B140" s="85"/>
      <c r="C140" s="58"/>
      <c r="D140" s="360"/>
      <c r="E140" s="89"/>
      <c r="F140" s="362"/>
    </row>
    <row r="141" spans="1:6" ht="13">
      <c r="A141" s="14"/>
      <c r="B141" s="85"/>
      <c r="C141" s="58"/>
      <c r="D141" s="360"/>
      <c r="E141" s="89"/>
      <c r="F141" s="362"/>
    </row>
    <row r="142" spans="1:6" ht="13">
      <c r="A142" s="14"/>
      <c r="B142" s="85"/>
      <c r="C142" s="58"/>
      <c r="D142" s="360"/>
      <c r="E142" s="89"/>
      <c r="F142" s="362"/>
    </row>
    <row r="143" spans="1:6" ht="13">
      <c r="A143" s="14"/>
      <c r="B143" s="85"/>
      <c r="C143" s="58"/>
      <c r="D143" s="360"/>
      <c r="E143" s="89"/>
      <c r="F143" s="362"/>
    </row>
    <row r="144" spans="1:6" ht="13">
      <c r="A144" s="14"/>
      <c r="B144" s="85"/>
      <c r="C144" s="58"/>
      <c r="D144" s="360"/>
      <c r="E144" s="89"/>
      <c r="F144" s="362"/>
    </row>
    <row r="145" spans="1:6" ht="13">
      <c r="A145" s="14"/>
      <c r="B145" s="85"/>
      <c r="C145" s="58"/>
      <c r="D145" s="360"/>
      <c r="E145" s="89"/>
      <c r="F145" s="362"/>
    </row>
    <row r="146" spans="1:6" ht="13">
      <c r="A146" s="14"/>
      <c r="B146" s="85"/>
      <c r="C146" s="58"/>
      <c r="D146" s="360"/>
      <c r="E146" s="89"/>
      <c r="F146" s="362"/>
    </row>
    <row r="147" spans="1:6" ht="13">
      <c r="A147" s="14"/>
      <c r="B147" s="85"/>
      <c r="C147" s="58"/>
      <c r="D147" s="360"/>
      <c r="E147" s="89"/>
      <c r="F147" s="362"/>
    </row>
    <row r="148" spans="1:6" ht="13">
      <c r="A148" s="14"/>
      <c r="B148" s="85"/>
      <c r="C148" s="58"/>
      <c r="D148" s="360"/>
      <c r="E148" s="89"/>
      <c r="F148" s="362"/>
    </row>
    <row r="149" spans="1:6" ht="13">
      <c r="A149" s="14"/>
      <c r="B149" s="85"/>
      <c r="C149" s="58"/>
      <c r="D149" s="360"/>
      <c r="E149" s="89"/>
      <c r="F149" s="362"/>
    </row>
    <row r="150" spans="1:6" ht="13">
      <c r="A150" s="14"/>
      <c r="B150" s="85"/>
      <c r="C150" s="58"/>
      <c r="D150" s="360"/>
      <c r="E150" s="89"/>
      <c r="F150" s="362"/>
    </row>
    <row r="151" spans="1:6" ht="13">
      <c r="A151" s="14"/>
      <c r="B151" s="85"/>
      <c r="C151" s="58"/>
      <c r="D151" s="360"/>
      <c r="E151" s="89"/>
      <c r="F151" s="362"/>
    </row>
    <row r="152" spans="1:6" ht="13">
      <c r="A152" s="14"/>
      <c r="B152" s="85"/>
      <c r="C152" s="58"/>
      <c r="D152" s="360"/>
      <c r="E152" s="89"/>
      <c r="F152" s="362"/>
    </row>
    <row r="153" spans="1:6" ht="13">
      <c r="A153" s="14"/>
      <c r="B153" s="85"/>
      <c r="C153" s="58"/>
      <c r="D153" s="360"/>
      <c r="E153" s="89"/>
      <c r="F153" s="362"/>
    </row>
    <row r="154" spans="1:6" ht="13">
      <c r="A154" s="14"/>
      <c r="B154" s="85"/>
      <c r="C154" s="58"/>
      <c r="D154" s="360"/>
      <c r="E154" s="89"/>
      <c r="F154" s="362"/>
    </row>
    <row r="155" spans="1:6" ht="13.5" thickBot="1">
      <c r="A155" s="14"/>
      <c r="B155" s="85"/>
      <c r="C155" s="58"/>
      <c r="D155" s="360"/>
      <c r="E155" s="89"/>
      <c r="F155" s="362"/>
    </row>
    <row r="156" spans="1:6" ht="13" thickTop="1">
      <c r="A156" s="15"/>
      <c r="B156" s="10"/>
      <c r="C156" s="104"/>
      <c r="D156" s="340"/>
      <c r="E156" s="341"/>
      <c r="F156" s="342"/>
    </row>
    <row r="157" spans="1:6" ht="13">
      <c r="A157" s="106"/>
      <c r="B157" s="107" t="s">
        <v>727</v>
      </c>
      <c r="C157" s="108"/>
      <c r="D157" s="343"/>
      <c r="E157" s="344"/>
      <c r="F157" s="345">
        <f>SUM(F100:F156)</f>
        <v>111500500</v>
      </c>
    </row>
    <row r="158" spans="1:6" ht="13" thickBot="1">
      <c r="A158" s="12"/>
      <c r="B158" s="110"/>
      <c r="C158" s="111"/>
      <c r="D158" s="346"/>
      <c r="E158" s="347"/>
      <c r="F158" s="348"/>
    </row>
    <row r="159" spans="1:6" ht="13" thickTop="1"/>
    <row r="161" spans="2:2">
      <c r="B161" s="17" t="s">
        <v>34</v>
      </c>
    </row>
  </sheetData>
  <mergeCells count="6">
    <mergeCell ref="A97:F97"/>
    <mergeCell ref="A2:F2"/>
    <mergeCell ref="K23:K24"/>
    <mergeCell ref="B50:E50"/>
    <mergeCell ref="A51:F51"/>
    <mergeCell ref="B96:E96"/>
  </mergeCells>
  <printOptions horizontalCentered="1" verticalCentered="1"/>
  <pageMargins left="0.75" right="0.5" top="0.75" bottom="0.75" header="0.5" footer="0.5"/>
  <pageSetup paperSize="9" scale="90" orientation="portrait" horizontalDpi="30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P416"/>
  <sheetViews>
    <sheetView view="pageBreakPreview" topLeftCell="A112" zoomScale="130" zoomScaleNormal="100" zoomScaleSheetLayoutView="130" workbookViewId="0">
      <selection activeCell="F414" sqref="F414"/>
    </sheetView>
  </sheetViews>
  <sheetFormatPr defaultColWidth="9.08984375" defaultRowHeight="12.5"/>
  <cols>
    <col min="1" max="1" width="9.54296875" style="299" customWidth="1"/>
    <col min="2" max="2" width="48.54296875" style="300" customWidth="1"/>
    <col min="3" max="3" width="8.54296875" style="300" customWidth="1"/>
    <col min="4" max="4" width="8.6328125" style="300" customWidth="1"/>
    <col min="5" max="5" width="11.08984375" style="300" customWidth="1"/>
    <col min="6" max="6" width="14.6328125" style="300" customWidth="1"/>
    <col min="7" max="16384" width="9.08984375" style="17"/>
  </cols>
  <sheetData>
    <row r="1" spans="1:8" ht="12.75" customHeight="1" thickTop="1">
      <c r="A1" s="251"/>
      <c r="B1" s="252"/>
      <c r="C1" s="253"/>
      <c r="D1" s="253"/>
      <c r="E1" s="253"/>
      <c r="F1" s="254"/>
    </row>
    <row r="2" spans="1:8" ht="12.75" customHeight="1">
      <c r="A2" s="1546" t="s">
        <v>483</v>
      </c>
      <c r="B2" s="1542"/>
      <c r="C2" s="1542"/>
      <c r="D2" s="1542"/>
      <c r="E2" s="1542"/>
      <c r="F2" s="1547"/>
    </row>
    <row r="3" spans="1:8" ht="13.5" thickBot="1">
      <c r="A3" s="255"/>
      <c r="B3" s="256"/>
      <c r="C3" s="257"/>
      <c r="D3" s="257"/>
      <c r="E3" s="257"/>
      <c r="F3" s="258"/>
    </row>
    <row r="4" spans="1:8" ht="27" thickTop="1" thickBot="1">
      <c r="A4" s="367" t="s">
        <v>4</v>
      </c>
      <c r="B4" s="368" t="s">
        <v>5</v>
      </c>
      <c r="C4" s="368" t="s">
        <v>6</v>
      </c>
      <c r="D4" s="368" t="s">
        <v>1</v>
      </c>
      <c r="E4" s="368" t="s">
        <v>7</v>
      </c>
      <c r="F4" s="369" t="s">
        <v>8</v>
      </c>
      <c r="H4" s="17" t="s">
        <v>1</v>
      </c>
    </row>
    <row r="5" spans="1:8" ht="13" thickTop="1">
      <c r="A5" s="259"/>
      <c r="B5" s="260"/>
      <c r="C5" s="261"/>
      <c r="D5" s="261"/>
      <c r="E5" s="261"/>
      <c r="F5" s="262"/>
    </row>
    <row r="6" spans="1:8" ht="13">
      <c r="A6" s="1"/>
      <c r="B6" s="87" t="s">
        <v>71</v>
      </c>
      <c r="C6" s="57"/>
      <c r="D6" s="138"/>
      <c r="E6" s="139"/>
      <c r="F6" s="140"/>
    </row>
    <row r="7" spans="1:8" ht="13">
      <c r="A7" s="5"/>
      <c r="B7" s="87"/>
      <c r="C7" s="57"/>
      <c r="D7" s="138"/>
      <c r="E7" s="139"/>
      <c r="F7" s="140"/>
    </row>
    <row r="8" spans="1:8" ht="13">
      <c r="A8" s="5"/>
      <c r="B8" s="87" t="s">
        <v>249</v>
      </c>
      <c r="C8" s="57"/>
      <c r="D8" s="138"/>
      <c r="E8" s="139"/>
      <c r="F8" s="140"/>
    </row>
    <row r="9" spans="1:8" ht="13">
      <c r="A9" s="5"/>
      <c r="B9" s="87"/>
      <c r="C9" s="57"/>
      <c r="D9" s="138"/>
      <c r="E9" s="139"/>
      <c r="F9" s="140"/>
    </row>
    <row r="10" spans="1:8" ht="13">
      <c r="A10" s="5"/>
      <c r="B10" s="88" t="s">
        <v>262</v>
      </c>
      <c r="C10" s="57"/>
      <c r="D10" s="138"/>
      <c r="E10" s="139"/>
      <c r="F10" s="140"/>
    </row>
    <row r="11" spans="1:8">
      <c r="A11" s="5"/>
      <c r="B11" s="85"/>
      <c r="C11" s="57"/>
      <c r="D11" s="138"/>
      <c r="E11" s="118"/>
      <c r="F11" s="81"/>
    </row>
    <row r="12" spans="1:8" ht="37.5">
      <c r="A12" s="18"/>
      <c r="B12" s="100" t="s">
        <v>263</v>
      </c>
      <c r="C12" s="96"/>
      <c r="D12" s="142"/>
      <c r="E12" s="118"/>
      <c r="F12" s="81"/>
    </row>
    <row r="13" spans="1:8" ht="13">
      <c r="A13" s="18"/>
      <c r="B13" s="100"/>
      <c r="C13" s="103"/>
      <c r="D13" s="143"/>
      <c r="E13" s="118"/>
      <c r="F13" s="81"/>
    </row>
    <row r="14" spans="1:8">
      <c r="A14" s="11" t="s">
        <v>264</v>
      </c>
      <c r="B14" s="100" t="s">
        <v>817</v>
      </c>
      <c r="C14" s="103" t="s">
        <v>9</v>
      </c>
      <c r="D14" s="143">
        <f>SUM(D43:D64)</f>
        <v>41960</v>
      </c>
      <c r="E14" s="118">
        <v>100</v>
      </c>
      <c r="F14" s="81">
        <f>D14*E14</f>
        <v>4196000</v>
      </c>
      <c r="H14" s="17">
        <v>7610</v>
      </c>
    </row>
    <row r="15" spans="1:8">
      <c r="A15" s="259"/>
      <c r="B15" s="261"/>
      <c r="C15" s="261"/>
      <c r="D15" s="261"/>
      <c r="E15" s="261"/>
      <c r="F15" s="262"/>
    </row>
    <row r="16" spans="1:8" ht="13">
      <c r="A16" s="56"/>
      <c r="B16" s="26" t="s">
        <v>266</v>
      </c>
      <c r="C16" s="57"/>
      <c r="D16" s="144"/>
      <c r="E16" s="118"/>
      <c r="F16" s="81"/>
    </row>
    <row r="17" spans="1:8" ht="125">
      <c r="A17" s="27"/>
      <c r="B17" s="263" t="s">
        <v>484</v>
      </c>
      <c r="C17" s="57"/>
      <c r="D17" s="144"/>
      <c r="E17" s="118"/>
      <c r="F17" s="81"/>
    </row>
    <row r="18" spans="1:8">
      <c r="A18" s="27"/>
      <c r="B18" s="264"/>
      <c r="C18" s="57"/>
      <c r="D18" s="144"/>
      <c r="E18" s="118"/>
      <c r="F18" s="81"/>
    </row>
    <row r="19" spans="1:8">
      <c r="A19" s="27" t="s">
        <v>267</v>
      </c>
      <c r="B19" s="100" t="s">
        <v>36</v>
      </c>
      <c r="C19" s="57" t="s">
        <v>37</v>
      </c>
      <c r="D19" s="145">
        <f>(D43+D45+D56+D58+D60+D62+D64)*3/10000*0.7</f>
        <v>8.8115999999999985</v>
      </c>
      <c r="E19" s="118">
        <v>200000</v>
      </c>
      <c r="F19" s="81">
        <f>D19*E19</f>
        <v>1762319.9999999998</v>
      </c>
      <c r="H19" s="17">
        <v>1.5980999999999999</v>
      </c>
    </row>
    <row r="20" spans="1:8">
      <c r="A20" s="27"/>
      <c r="B20" s="100"/>
      <c r="C20" s="57"/>
      <c r="D20" s="144"/>
      <c r="E20" s="118"/>
      <c r="F20" s="81"/>
    </row>
    <row r="21" spans="1:8">
      <c r="A21" s="27" t="s">
        <v>269</v>
      </c>
      <c r="B21" s="100" t="s">
        <v>485</v>
      </c>
      <c r="C21" s="57" t="s">
        <v>10</v>
      </c>
      <c r="D21" s="144">
        <v>1</v>
      </c>
      <c r="E21" s="147">
        <v>800</v>
      </c>
      <c r="F21" s="81">
        <f>D21*E21</f>
        <v>800</v>
      </c>
      <c r="H21" s="17">
        <v>1</v>
      </c>
    </row>
    <row r="22" spans="1:8">
      <c r="A22" s="4"/>
      <c r="B22" s="8"/>
      <c r="C22" s="57"/>
      <c r="D22" s="144"/>
      <c r="E22" s="147"/>
      <c r="F22" s="81"/>
    </row>
    <row r="23" spans="1:8">
      <c r="A23" s="4" t="s">
        <v>271</v>
      </c>
      <c r="B23" s="100" t="s">
        <v>486</v>
      </c>
      <c r="C23" s="57" t="s">
        <v>10</v>
      </c>
      <c r="D23" s="144">
        <v>1</v>
      </c>
      <c r="E23" s="147">
        <v>1000</v>
      </c>
      <c r="F23" s="81">
        <f>D23*E23</f>
        <v>1000</v>
      </c>
      <c r="H23" s="17">
        <v>1</v>
      </c>
    </row>
    <row r="24" spans="1:8">
      <c r="A24" s="4"/>
      <c r="B24" s="8"/>
      <c r="C24" s="57"/>
      <c r="D24" s="144"/>
      <c r="E24" s="118"/>
      <c r="F24" s="81"/>
    </row>
    <row r="25" spans="1:8">
      <c r="A25" s="27" t="s">
        <v>273</v>
      </c>
      <c r="B25" s="8" t="s">
        <v>487</v>
      </c>
      <c r="C25" s="57" t="s">
        <v>10</v>
      </c>
      <c r="D25" s="144">
        <v>1</v>
      </c>
      <c r="E25" s="118">
        <v>500</v>
      </c>
      <c r="F25" s="81">
        <f>D25*E25</f>
        <v>500</v>
      </c>
      <c r="H25" s="17">
        <v>1</v>
      </c>
    </row>
    <row r="26" spans="1:8">
      <c r="A26" s="4"/>
      <c r="B26" s="8"/>
      <c r="C26" s="57"/>
      <c r="D26" s="144"/>
      <c r="E26" s="118"/>
      <c r="F26" s="81"/>
    </row>
    <row r="27" spans="1:8">
      <c r="A27" s="4" t="s">
        <v>488</v>
      </c>
      <c r="B27" s="8" t="s">
        <v>489</v>
      </c>
      <c r="C27" s="57" t="s">
        <v>10</v>
      </c>
      <c r="D27" s="144">
        <v>1</v>
      </c>
      <c r="E27" s="118">
        <v>500</v>
      </c>
      <c r="F27" s="81">
        <f>D27*E27</f>
        <v>500</v>
      </c>
      <c r="H27" s="17">
        <v>1</v>
      </c>
    </row>
    <row r="28" spans="1:8">
      <c r="A28" s="4"/>
      <c r="B28" s="8"/>
      <c r="C28" s="57"/>
      <c r="D28" s="144"/>
      <c r="E28" s="118"/>
      <c r="F28" s="81"/>
    </row>
    <row r="29" spans="1:8" ht="13">
      <c r="A29" s="25"/>
      <c r="B29" s="148" t="s">
        <v>24</v>
      </c>
      <c r="C29" s="116"/>
      <c r="D29" s="149"/>
      <c r="E29" s="150"/>
      <c r="F29" s="81"/>
    </row>
    <row r="30" spans="1:8">
      <c r="A30" s="259"/>
      <c r="B30" s="261"/>
      <c r="C30" s="261"/>
      <c r="D30" s="261"/>
      <c r="E30" s="261"/>
      <c r="F30" s="262"/>
    </row>
    <row r="31" spans="1:8" ht="37.5">
      <c r="A31" s="259"/>
      <c r="B31" s="261" t="s">
        <v>490</v>
      </c>
      <c r="C31" s="261"/>
      <c r="D31" s="261"/>
      <c r="E31" s="261"/>
      <c r="F31" s="262"/>
    </row>
    <row r="32" spans="1:8" ht="37.5">
      <c r="A32" s="259"/>
      <c r="B32" s="265" t="s">
        <v>31</v>
      </c>
      <c r="C32" s="261"/>
      <c r="D32" s="261"/>
      <c r="E32" s="261"/>
      <c r="F32" s="262"/>
    </row>
    <row r="33" spans="1:8">
      <c r="A33" s="6" t="s">
        <v>491</v>
      </c>
      <c r="B33" s="266" t="s">
        <v>492</v>
      </c>
      <c r="C33" s="116" t="s">
        <v>9</v>
      </c>
      <c r="D33" s="261">
        <f>(D43+D45+D56+D58+D60+D62+D64)*0.7</f>
        <v>29371.999999999996</v>
      </c>
      <c r="E33" s="261">
        <v>250</v>
      </c>
      <c r="F33" s="262">
        <f>PRODUCT(D33:E33)</f>
        <v>7342999.9999999991</v>
      </c>
      <c r="H33" s="17">
        <v>5327</v>
      </c>
    </row>
    <row r="34" spans="1:8">
      <c r="A34" s="6"/>
      <c r="B34" s="266"/>
      <c r="C34" s="116"/>
      <c r="D34" s="261"/>
      <c r="E34" s="261"/>
      <c r="F34" s="262"/>
    </row>
    <row r="35" spans="1:8">
      <c r="A35" s="6" t="s">
        <v>493</v>
      </c>
      <c r="B35" s="266" t="s">
        <v>494</v>
      </c>
      <c r="C35" s="116" t="s">
        <v>9</v>
      </c>
      <c r="D35" s="261">
        <f>(D43+D45+D56+D58+D60+D62+D64)*0.3</f>
        <v>12588</v>
      </c>
      <c r="E35" s="261">
        <v>350</v>
      </c>
      <c r="F35" s="262">
        <f>PRODUCT(D35:E35)</f>
        <v>4405800</v>
      </c>
      <c r="H35" s="17">
        <v>2283</v>
      </c>
    </row>
    <row r="36" spans="1:8">
      <c r="A36" s="259"/>
      <c r="B36" s="266"/>
      <c r="C36" s="116"/>
      <c r="D36" s="261"/>
      <c r="E36" s="261"/>
      <c r="F36" s="262"/>
    </row>
    <row r="37" spans="1:8">
      <c r="A37" s="6" t="s">
        <v>495</v>
      </c>
      <c r="B37" s="266" t="s">
        <v>496</v>
      </c>
      <c r="C37" s="116" t="s">
        <v>35</v>
      </c>
      <c r="D37" s="261">
        <f>ROUNDUP((D43+D45+D56+D58+D60+D62+D64)*0.5*0.2,-1)</f>
        <v>4200</v>
      </c>
      <c r="E37" s="261"/>
      <c r="F37" s="262"/>
      <c r="H37" s="17">
        <v>770</v>
      </c>
    </row>
    <row r="38" spans="1:8">
      <c r="A38" s="6"/>
      <c r="B38" s="266"/>
      <c r="C38" s="116"/>
      <c r="D38" s="261"/>
      <c r="E38" s="261"/>
      <c r="F38" s="262"/>
    </row>
    <row r="39" spans="1:8">
      <c r="A39" s="6" t="s">
        <v>497</v>
      </c>
      <c r="B39" s="266" t="s">
        <v>498</v>
      </c>
      <c r="C39" s="116" t="s">
        <v>35</v>
      </c>
      <c r="D39" s="261">
        <f>ROUNDUP((D43+D45+D56+D58+D60+D62+D64)*0.5*0.3,-1)</f>
        <v>6300</v>
      </c>
      <c r="E39" s="261">
        <v>3000</v>
      </c>
      <c r="F39" s="262">
        <f>PRODUCT(D39:E39)</f>
        <v>18900000</v>
      </c>
      <c r="H39" s="17">
        <v>1150</v>
      </c>
    </row>
    <row r="40" spans="1:8">
      <c r="A40" s="6"/>
      <c r="B40" s="266"/>
      <c r="C40" s="116"/>
      <c r="D40" s="261"/>
      <c r="E40" s="261"/>
      <c r="F40" s="262"/>
    </row>
    <row r="41" spans="1:8" ht="65">
      <c r="A41" s="259"/>
      <c r="B41" s="399" t="s">
        <v>499</v>
      </c>
      <c r="C41" s="261"/>
      <c r="D41" s="261"/>
      <c r="E41" s="261"/>
      <c r="F41" s="262"/>
    </row>
    <row r="42" spans="1:8">
      <c r="A42" s="259"/>
      <c r="B42" s="266"/>
      <c r="C42" s="261"/>
      <c r="D42" s="261"/>
      <c r="E42" s="261"/>
      <c r="F42" s="262"/>
    </row>
    <row r="43" spans="1:8" hidden="1">
      <c r="A43" s="259" t="s">
        <v>292</v>
      </c>
      <c r="B43" s="266" t="s">
        <v>500</v>
      </c>
      <c r="C43" s="116" t="s">
        <v>9</v>
      </c>
      <c r="D43" s="261">
        <f>'[34]Water Ret Qtys'!K39</f>
        <v>0</v>
      </c>
      <c r="E43" s="270">
        <f>ROUNDUP(36530/6*1.5,-1)</f>
        <v>9140</v>
      </c>
      <c r="F43" s="262">
        <f>PRODUCT(D43:E43)</f>
        <v>0</v>
      </c>
      <c r="H43" s="17">
        <v>740</v>
      </c>
    </row>
    <row r="44" spans="1:8" hidden="1">
      <c r="A44" s="259"/>
      <c r="B44" s="266"/>
      <c r="C44" s="116"/>
      <c r="D44" s="261" t="s">
        <v>501</v>
      </c>
      <c r="E44" s="270"/>
      <c r="F44" s="262"/>
      <c r="H44" s="17" t="s">
        <v>501</v>
      </c>
    </row>
    <row r="45" spans="1:8">
      <c r="A45" s="259" t="s">
        <v>294</v>
      </c>
      <c r="B45" s="266" t="s">
        <v>502</v>
      </c>
      <c r="C45" s="116" t="s">
        <v>9</v>
      </c>
      <c r="D45" s="261">
        <f>'[34]Water Ret Qtys'!K40</f>
        <v>5710</v>
      </c>
      <c r="E45" s="270">
        <f>ROUNDUP(28770/6*1.5,-1)</f>
        <v>7200</v>
      </c>
      <c r="F45" s="262">
        <f>PRODUCT(D45:E45)</f>
        <v>41112000</v>
      </c>
      <c r="H45" s="17">
        <v>1950</v>
      </c>
    </row>
    <row r="46" spans="1:8" ht="13" thickBot="1">
      <c r="A46" s="259"/>
      <c r="B46" s="266"/>
      <c r="C46" s="261"/>
      <c r="D46" s="261"/>
      <c r="E46" s="261"/>
      <c r="F46" s="262"/>
    </row>
    <row r="47" spans="1:8" s="3" customFormat="1" ht="13" thickTop="1">
      <c r="A47" s="15"/>
      <c r="B47" s="10"/>
      <c r="C47" s="104"/>
      <c r="D47" s="119"/>
      <c r="E47" s="105"/>
      <c r="F47" s="80"/>
    </row>
    <row r="48" spans="1:8" s="3" customFormat="1" ht="13">
      <c r="A48" s="106"/>
      <c r="B48" s="107" t="s">
        <v>301</v>
      </c>
      <c r="C48" s="108"/>
      <c r="D48" s="120"/>
      <c r="E48" s="109"/>
      <c r="F48" s="75">
        <f>SUM(F7:F45)</f>
        <v>77721920</v>
      </c>
    </row>
    <row r="49" spans="1:8" s="3" customFormat="1" ht="13" thickBot="1">
      <c r="A49" s="12"/>
      <c r="B49" s="110"/>
      <c r="C49" s="111"/>
      <c r="D49" s="122"/>
      <c r="E49" s="112"/>
      <c r="F49" s="82"/>
    </row>
    <row r="50" spans="1:8" ht="13.5" thickTop="1">
      <c r="A50" s="267"/>
      <c r="B50" s="1544"/>
      <c r="C50" s="1544"/>
      <c r="D50" s="1544"/>
      <c r="E50" s="1544"/>
      <c r="F50" s="136"/>
    </row>
    <row r="51" spans="1:8" ht="12.75" customHeight="1">
      <c r="A51" s="1546" t="str">
        <f>A2</f>
        <v>BILL 8 - DISTRIBUTION NETWORK</v>
      </c>
      <c r="B51" s="1542"/>
      <c r="C51" s="1542"/>
      <c r="D51" s="1542"/>
      <c r="E51" s="1542"/>
      <c r="F51" s="1547"/>
    </row>
    <row r="52" spans="1:8" ht="13" thickBot="1">
      <c r="A52" s="91"/>
      <c r="B52" s="17"/>
      <c r="C52" s="123"/>
      <c r="D52" s="127"/>
      <c r="E52" s="128"/>
      <c r="F52" s="135"/>
    </row>
    <row r="53" spans="1:8" ht="27" thickTop="1" thickBot="1">
      <c r="A53" s="13" t="s">
        <v>4</v>
      </c>
      <c r="B53" s="129" t="s">
        <v>5</v>
      </c>
      <c r="C53" s="129" t="s">
        <v>6</v>
      </c>
      <c r="D53" s="130" t="s">
        <v>1</v>
      </c>
      <c r="E53" s="131" t="s">
        <v>7</v>
      </c>
      <c r="F53" s="76" t="s">
        <v>8</v>
      </c>
      <c r="H53" s="17" t="s">
        <v>1</v>
      </c>
    </row>
    <row r="54" spans="1:8" s="269" customFormat="1" ht="13.5" thickTop="1">
      <c r="A54" s="259"/>
      <c r="B54" s="268"/>
      <c r="C54" s="261"/>
      <c r="D54" s="261"/>
      <c r="E54" s="261"/>
      <c r="F54" s="262"/>
    </row>
    <row r="55" spans="1:8" ht="18" customHeight="1">
      <c r="A55" s="259"/>
      <c r="B55" s="266"/>
      <c r="C55" s="116"/>
      <c r="D55" s="261" t="s">
        <v>503</v>
      </c>
      <c r="E55" s="270"/>
      <c r="F55" s="262"/>
      <c r="H55" s="17" t="s">
        <v>503</v>
      </c>
    </row>
    <row r="56" spans="1:8">
      <c r="A56" s="259" t="s">
        <v>296</v>
      </c>
      <c r="B56" s="266" t="s">
        <v>504</v>
      </c>
      <c r="C56" s="116" t="s">
        <v>9</v>
      </c>
      <c r="D56" s="261">
        <f>'[34]Water Ret Qtys'!K41</f>
        <v>4100</v>
      </c>
      <c r="E56" s="270">
        <f>ROUNDUP(22840/6*1.5,-1)</f>
        <v>5710</v>
      </c>
      <c r="F56" s="262">
        <f>PRODUCT(D56:E56)</f>
        <v>23411000</v>
      </c>
      <c r="H56" s="17">
        <v>1810</v>
      </c>
    </row>
    <row r="57" spans="1:8">
      <c r="A57" s="259"/>
      <c r="B57" s="266"/>
      <c r="C57" s="116"/>
      <c r="D57" s="261" t="s">
        <v>501</v>
      </c>
      <c r="E57" s="270"/>
      <c r="F57" s="262"/>
      <c r="H57" s="17" t="s">
        <v>501</v>
      </c>
    </row>
    <row r="58" spans="1:8">
      <c r="A58" s="259" t="s">
        <v>298</v>
      </c>
      <c r="B58" s="271" t="s">
        <v>505</v>
      </c>
      <c r="C58" s="116" t="s">
        <v>9</v>
      </c>
      <c r="D58" s="261">
        <f>'[34]Water Ret Qtys'!K42</f>
        <v>4470</v>
      </c>
      <c r="E58" s="270">
        <f>ROUNDUP(3000*1.5,-1)</f>
        <v>4500</v>
      </c>
      <c r="F58" s="262">
        <f>PRODUCT(D58:E58)</f>
        <v>20115000</v>
      </c>
      <c r="H58" s="17">
        <v>0</v>
      </c>
    </row>
    <row r="59" spans="1:8">
      <c r="A59" s="259"/>
      <c r="B59" s="271"/>
      <c r="C59" s="116"/>
      <c r="D59" s="261" t="s">
        <v>503</v>
      </c>
      <c r="E59" s="270"/>
      <c r="F59" s="262"/>
      <c r="H59" s="17" t="s">
        <v>503</v>
      </c>
    </row>
    <row r="60" spans="1:8">
      <c r="A60" s="259" t="s">
        <v>506</v>
      </c>
      <c r="B60" s="271" t="s">
        <v>507</v>
      </c>
      <c r="C60" s="116" t="s">
        <v>9</v>
      </c>
      <c r="D60" s="261">
        <f>'[34]Water Ret Qtys'!K43</f>
        <v>14080</v>
      </c>
      <c r="E60" s="270">
        <f>ROUNDUP(1505*1.5,-1)</f>
        <v>2260</v>
      </c>
      <c r="F60" s="262">
        <f>PRODUCT(D60:E60)</f>
        <v>31820800</v>
      </c>
      <c r="H60" s="17">
        <v>1030</v>
      </c>
    </row>
    <row r="61" spans="1:8">
      <c r="A61" s="259"/>
      <c r="B61" s="271"/>
      <c r="C61" s="261"/>
      <c r="D61" s="261" t="s">
        <v>501</v>
      </c>
      <c r="E61" s="270"/>
      <c r="F61" s="262"/>
      <c r="H61" s="17" t="s">
        <v>501</v>
      </c>
    </row>
    <row r="62" spans="1:8">
      <c r="A62" s="259" t="s">
        <v>508</v>
      </c>
      <c r="B62" s="271" t="s">
        <v>509</v>
      </c>
      <c r="C62" s="116" t="s">
        <v>9</v>
      </c>
      <c r="D62" s="261">
        <f>'[34]Water Ret Qtys'!K44</f>
        <v>13600</v>
      </c>
      <c r="E62" s="270">
        <f>ROUNDUP(710*1.5,-1)</f>
        <v>1070</v>
      </c>
      <c r="F62" s="262">
        <f>PRODUCT(D62:E62)</f>
        <v>14552000</v>
      </c>
      <c r="H62" s="17">
        <v>2080</v>
      </c>
    </row>
    <row r="63" spans="1:8" hidden="1">
      <c r="A63" s="259"/>
      <c r="B63" s="271"/>
      <c r="C63" s="116"/>
      <c r="D63" s="261" t="s">
        <v>501</v>
      </c>
      <c r="E63" s="270"/>
      <c r="F63" s="262"/>
      <c r="H63" s="17" t="s">
        <v>501</v>
      </c>
    </row>
    <row r="64" spans="1:8" hidden="1">
      <c r="A64" s="259" t="s">
        <v>510</v>
      </c>
      <c r="B64" s="271" t="s">
        <v>511</v>
      </c>
      <c r="C64" s="116" t="s">
        <v>9</v>
      </c>
      <c r="D64" s="261">
        <f>'[34]Water Ret Qtys'!K45</f>
        <v>0</v>
      </c>
      <c r="E64" s="270">
        <f>ROUNDUP(250*1.5,-1)</f>
        <v>380</v>
      </c>
      <c r="F64" s="262">
        <f>PRODUCT(D64:E64)</f>
        <v>0</v>
      </c>
      <c r="H64" s="17">
        <v>0</v>
      </c>
    </row>
    <row r="65" spans="1:8">
      <c r="A65" s="259"/>
      <c r="B65" s="266"/>
      <c r="C65" s="261"/>
      <c r="D65" s="261"/>
      <c r="E65" s="261"/>
      <c r="F65" s="262"/>
    </row>
    <row r="66" spans="1:8">
      <c r="A66" s="259"/>
      <c r="B66" s="266"/>
      <c r="C66" s="261"/>
      <c r="D66" s="261"/>
      <c r="E66" s="261"/>
      <c r="F66" s="262"/>
    </row>
    <row r="67" spans="1:8" ht="13">
      <c r="A67" s="25"/>
      <c r="B67" s="148" t="s">
        <v>25</v>
      </c>
      <c r="C67" s="116"/>
      <c r="D67" s="149"/>
      <c r="E67" s="150"/>
      <c r="F67" s="171"/>
    </row>
    <row r="68" spans="1:8">
      <c r="A68" s="259"/>
      <c r="B68" s="266"/>
      <c r="C68" s="261"/>
      <c r="D68" s="261"/>
      <c r="E68" s="261"/>
      <c r="F68" s="262"/>
    </row>
    <row r="69" spans="1:8">
      <c r="A69" s="259"/>
      <c r="B69" s="266" t="s">
        <v>512</v>
      </c>
      <c r="C69" s="261"/>
      <c r="D69" s="261"/>
      <c r="E69" s="261"/>
      <c r="F69" s="262"/>
    </row>
    <row r="70" spans="1:8">
      <c r="A70" s="259"/>
      <c r="B70" s="266"/>
      <c r="C70" s="261"/>
      <c r="D70" s="261"/>
      <c r="E70" s="261"/>
      <c r="F70" s="262"/>
    </row>
    <row r="71" spans="1:8" ht="37.5">
      <c r="A71" s="259"/>
      <c r="B71" s="266" t="s">
        <v>513</v>
      </c>
      <c r="C71" s="261"/>
      <c r="D71" s="261"/>
      <c r="E71" s="261"/>
      <c r="F71" s="262"/>
    </row>
    <row r="72" spans="1:8" ht="37.5">
      <c r="A72" s="6" t="s">
        <v>514</v>
      </c>
      <c r="B72" s="266" t="s">
        <v>515</v>
      </c>
      <c r="C72" s="261" t="s">
        <v>65</v>
      </c>
      <c r="D72" s="261">
        <f>'[34]Water Ret Qtys'!J101</f>
        <v>3</v>
      </c>
      <c r="E72" s="261">
        <v>27000</v>
      </c>
      <c r="F72" s="262">
        <f>PRODUCT(D72:E72)</f>
        <v>81000</v>
      </c>
      <c r="H72" s="17">
        <v>2</v>
      </c>
    </row>
    <row r="73" spans="1:8">
      <c r="A73" s="259"/>
      <c r="B73" s="266"/>
      <c r="C73" s="261"/>
      <c r="D73" s="261"/>
      <c r="E73" s="261"/>
      <c r="F73" s="262"/>
    </row>
    <row r="74" spans="1:8">
      <c r="A74" s="6" t="s">
        <v>516</v>
      </c>
      <c r="B74" s="266" t="s">
        <v>517</v>
      </c>
      <c r="C74" s="261" t="s">
        <v>65</v>
      </c>
      <c r="D74" s="261">
        <f>'[34]Water Ret Qtys'!J100</f>
        <v>2</v>
      </c>
      <c r="E74" s="261">
        <v>27000</v>
      </c>
      <c r="F74" s="262">
        <f>PRODUCT(D74:E74)</f>
        <v>54000</v>
      </c>
      <c r="H74" s="17">
        <v>2</v>
      </c>
    </row>
    <row r="75" spans="1:8">
      <c r="A75" s="259"/>
      <c r="B75" s="266"/>
      <c r="C75" s="261"/>
      <c r="D75" s="261"/>
      <c r="E75" s="261"/>
      <c r="F75" s="262"/>
    </row>
    <row r="76" spans="1:8">
      <c r="A76" s="6" t="s">
        <v>518</v>
      </c>
      <c r="B76" s="266" t="s">
        <v>519</v>
      </c>
      <c r="C76" s="261" t="s">
        <v>65</v>
      </c>
      <c r="D76" s="261">
        <f>'[34]Water Ret Qtys'!J99</f>
        <v>3</v>
      </c>
      <c r="E76" s="261">
        <v>25000</v>
      </c>
      <c r="F76" s="262">
        <f>PRODUCT(D76:E76)</f>
        <v>75000</v>
      </c>
      <c r="H76" s="17">
        <v>1</v>
      </c>
    </row>
    <row r="77" spans="1:8">
      <c r="A77" s="259"/>
      <c r="B77" s="266"/>
      <c r="C77" s="261"/>
      <c r="D77" s="261"/>
      <c r="E77" s="261"/>
      <c r="F77" s="262"/>
    </row>
    <row r="78" spans="1:8">
      <c r="A78" s="6" t="s">
        <v>520</v>
      </c>
      <c r="B78" s="266" t="s">
        <v>521</v>
      </c>
      <c r="C78" s="261" t="s">
        <v>65</v>
      </c>
      <c r="D78" s="261">
        <f>'[34]Water Ret Qtys'!J98</f>
        <v>6</v>
      </c>
      <c r="E78" s="261">
        <v>25000</v>
      </c>
      <c r="F78" s="262">
        <f>PRODUCT(D78:E78)</f>
        <v>150000</v>
      </c>
      <c r="H78" s="17">
        <v>3</v>
      </c>
    </row>
    <row r="79" spans="1:8">
      <c r="A79" s="259"/>
      <c r="B79" s="266"/>
      <c r="C79" s="261"/>
      <c r="D79" s="261"/>
      <c r="E79" s="261"/>
      <c r="F79" s="262"/>
    </row>
    <row r="80" spans="1:8">
      <c r="A80" s="6" t="s">
        <v>522</v>
      </c>
      <c r="B80" s="266" t="s">
        <v>523</v>
      </c>
      <c r="C80" s="261" t="s">
        <v>65</v>
      </c>
      <c r="D80" s="261">
        <f>'[34]Water Ret Qtys'!J97</f>
        <v>5</v>
      </c>
      <c r="E80" s="261">
        <v>25000</v>
      </c>
      <c r="F80" s="262">
        <f>PRODUCT(D80:E80)</f>
        <v>125000</v>
      </c>
      <c r="H80" s="17">
        <v>3</v>
      </c>
    </row>
    <row r="81" spans="1:8">
      <c r="A81" s="259"/>
      <c r="B81" s="266"/>
      <c r="C81" s="261"/>
      <c r="D81" s="261"/>
      <c r="E81" s="261"/>
      <c r="F81" s="262"/>
    </row>
    <row r="82" spans="1:8" ht="37.5" hidden="1">
      <c r="A82" s="6" t="s">
        <v>524</v>
      </c>
      <c r="B82" s="266" t="s">
        <v>525</v>
      </c>
      <c r="C82" s="261" t="s">
        <v>65</v>
      </c>
      <c r="D82" s="261">
        <f>'[34]Water Ret Qtys'!J102</f>
        <v>0</v>
      </c>
      <c r="E82" s="261">
        <v>30000</v>
      </c>
      <c r="F82" s="262">
        <f>PRODUCT(D82:E82)</f>
        <v>0</v>
      </c>
      <c r="H82" s="17">
        <v>2</v>
      </c>
    </row>
    <row r="83" spans="1:8" hidden="1">
      <c r="A83" s="272"/>
      <c r="B83" s="273"/>
      <c r="C83" s="273"/>
      <c r="D83" s="273"/>
      <c r="E83" s="261"/>
      <c r="F83" s="262"/>
    </row>
    <row r="84" spans="1:8" hidden="1">
      <c r="A84" s="274"/>
      <c r="B84" s="270"/>
      <c r="C84" s="270"/>
      <c r="D84" s="270"/>
      <c r="E84" s="261"/>
      <c r="F84" s="262"/>
    </row>
    <row r="85" spans="1:8" ht="14.25" customHeight="1">
      <c r="A85" s="6" t="s">
        <v>526</v>
      </c>
      <c r="B85" s="273" t="s">
        <v>527</v>
      </c>
      <c r="C85" s="273" t="s">
        <v>13</v>
      </c>
      <c r="D85" s="273">
        <f>SUM('[34]Water Ret Qtys'!J105:J109)</f>
        <v>16</v>
      </c>
      <c r="E85" s="261">
        <v>30000</v>
      </c>
      <c r="F85" s="262">
        <f>PRODUCT(D85:E85)</f>
        <v>480000</v>
      </c>
      <c r="H85" s="17">
        <v>11</v>
      </c>
    </row>
    <row r="86" spans="1:8">
      <c r="A86" s="272"/>
      <c r="B86" s="273"/>
      <c r="C86" s="273"/>
      <c r="D86" s="273"/>
      <c r="E86" s="261"/>
      <c r="F86" s="262"/>
    </row>
    <row r="87" spans="1:8" ht="15" customHeight="1">
      <c r="A87" s="6" t="s">
        <v>528</v>
      </c>
      <c r="B87" s="273" t="s">
        <v>529</v>
      </c>
      <c r="C87" s="273" t="s">
        <v>13</v>
      </c>
      <c r="D87" s="273">
        <f>'[34]Water Ret Qtys'!J111</f>
        <v>3</v>
      </c>
      <c r="E87" s="261">
        <v>75000</v>
      </c>
      <c r="F87" s="262">
        <f>PRODUCT(D87:E87)</f>
        <v>225000</v>
      </c>
      <c r="H87" s="17">
        <v>0</v>
      </c>
    </row>
    <row r="88" spans="1:8" ht="15" customHeight="1">
      <c r="A88" s="6"/>
      <c r="B88" s="273"/>
      <c r="C88" s="273"/>
      <c r="D88" s="273"/>
      <c r="E88" s="261"/>
      <c r="F88" s="262"/>
    </row>
    <row r="89" spans="1:8" ht="13">
      <c r="A89" s="274"/>
      <c r="B89" s="275" t="s">
        <v>530</v>
      </c>
      <c r="C89" s="270"/>
      <c r="D89" s="270"/>
      <c r="E89" s="261"/>
      <c r="F89" s="262"/>
    </row>
    <row r="90" spans="1:8" ht="62.5">
      <c r="A90" s="259"/>
      <c r="B90" s="266" t="s">
        <v>531</v>
      </c>
      <c r="C90" s="261"/>
      <c r="D90" s="261"/>
      <c r="E90" s="261"/>
      <c r="F90" s="262"/>
    </row>
    <row r="91" spans="1:8">
      <c r="A91" s="259"/>
      <c r="B91" s="266"/>
      <c r="C91" s="261"/>
      <c r="D91" s="261"/>
      <c r="E91" s="261"/>
      <c r="F91" s="262"/>
    </row>
    <row r="92" spans="1:8" hidden="1">
      <c r="A92" s="6" t="s">
        <v>532</v>
      </c>
      <c r="B92" s="261" t="s">
        <v>533</v>
      </c>
      <c r="C92" s="261" t="s">
        <v>65</v>
      </c>
      <c r="D92" s="261">
        <f>'[34]Water Ret Qtys'!J49</f>
        <v>0</v>
      </c>
      <c r="E92" s="261">
        <v>50000</v>
      </c>
      <c r="F92" s="262">
        <f>PRODUCT(D92:E92)</f>
        <v>0</v>
      </c>
      <c r="H92" s="17">
        <v>2</v>
      </c>
    </row>
    <row r="93" spans="1:8" hidden="1">
      <c r="A93" s="259"/>
      <c r="B93" s="261"/>
      <c r="C93" s="261"/>
      <c r="D93" s="261"/>
      <c r="E93" s="261"/>
      <c r="F93" s="262"/>
    </row>
    <row r="94" spans="1:8" hidden="1">
      <c r="A94" s="6" t="s">
        <v>534</v>
      </c>
      <c r="B94" s="261" t="s">
        <v>535</v>
      </c>
      <c r="C94" s="261" t="s">
        <v>65</v>
      </c>
      <c r="D94" s="261">
        <f>'[34]Water Ret Qtys'!J50</f>
        <v>0</v>
      </c>
      <c r="E94" s="261">
        <v>39500</v>
      </c>
      <c r="F94" s="262">
        <f>PRODUCT(D94:E94)</f>
        <v>0</v>
      </c>
      <c r="H94" s="17">
        <v>2</v>
      </c>
    </row>
    <row r="95" spans="1:8" hidden="1">
      <c r="A95" s="259"/>
      <c r="B95" s="261"/>
      <c r="C95" s="261"/>
      <c r="D95" s="261"/>
      <c r="E95" s="261"/>
      <c r="F95" s="262"/>
    </row>
    <row r="96" spans="1:8" hidden="1">
      <c r="A96" s="6" t="s">
        <v>536</v>
      </c>
      <c r="B96" s="261" t="s">
        <v>537</v>
      </c>
      <c r="C96" s="261" t="s">
        <v>65</v>
      </c>
      <c r="D96" s="261">
        <f>'[34]Water Ret Qtys'!J102</f>
        <v>0</v>
      </c>
      <c r="E96" s="261">
        <v>38000</v>
      </c>
      <c r="F96" s="262">
        <f>PRODUCT(D96:E96)</f>
        <v>0</v>
      </c>
      <c r="H96" s="17">
        <v>2</v>
      </c>
    </row>
    <row r="97" spans="1:8" hidden="1">
      <c r="A97" s="259"/>
      <c r="B97" s="261"/>
      <c r="C97" s="261"/>
      <c r="D97" s="261"/>
      <c r="E97" s="261"/>
      <c r="F97" s="262"/>
    </row>
    <row r="98" spans="1:8">
      <c r="A98" s="6" t="s">
        <v>538</v>
      </c>
      <c r="B98" s="261" t="s">
        <v>539</v>
      </c>
      <c r="C98" s="261" t="s">
        <v>65</v>
      </c>
      <c r="D98" s="261">
        <f>'[34]Water Ret Qtys'!J52</f>
        <v>2</v>
      </c>
      <c r="E98" s="261">
        <f>ROUNDUP(27745*1.4,-1)</f>
        <v>38850</v>
      </c>
      <c r="F98" s="262">
        <f>PRODUCT(D98:E98)</f>
        <v>77700</v>
      </c>
      <c r="H98" s="17">
        <v>2</v>
      </c>
    </row>
    <row r="99" spans="1:8">
      <c r="A99" s="259"/>
      <c r="B99" s="261"/>
      <c r="C99" s="261"/>
      <c r="D99" s="261"/>
      <c r="E99" s="261"/>
      <c r="F99" s="262"/>
    </row>
    <row r="100" spans="1:8">
      <c r="A100" s="6" t="s">
        <v>540</v>
      </c>
      <c r="B100" s="261" t="s">
        <v>541</v>
      </c>
      <c r="C100" s="261" t="s">
        <v>65</v>
      </c>
      <c r="D100" s="261">
        <f>'[34]Water Ret Qtys'!J54</f>
        <v>4</v>
      </c>
      <c r="E100" s="261">
        <f>ROUNDUP(23015*1.4,-1)</f>
        <v>32230</v>
      </c>
      <c r="F100" s="262">
        <f>PRODUCT(D100:E100)</f>
        <v>128920</v>
      </c>
      <c r="H100" s="17">
        <v>4</v>
      </c>
    </row>
    <row r="101" spans="1:8">
      <c r="A101" s="259"/>
      <c r="B101" s="261"/>
      <c r="C101" s="261"/>
      <c r="D101" s="261"/>
      <c r="E101" s="261"/>
      <c r="F101" s="262"/>
    </row>
    <row r="102" spans="1:8">
      <c r="A102" s="6" t="s">
        <v>542</v>
      </c>
      <c r="B102" s="261" t="s">
        <v>543</v>
      </c>
      <c r="C102" s="261" t="s">
        <v>65</v>
      </c>
      <c r="D102" s="261">
        <f>'[34]Water Ret Qtys'!J53</f>
        <v>4</v>
      </c>
      <c r="E102" s="261">
        <f>ROUNDUP(22124*1.4,-1)</f>
        <v>30980</v>
      </c>
      <c r="F102" s="262">
        <f>PRODUCT(D102:E102)</f>
        <v>123920</v>
      </c>
      <c r="H102" s="17">
        <v>2</v>
      </c>
    </row>
    <row r="103" spans="1:8">
      <c r="A103" s="259"/>
      <c r="B103" s="261"/>
      <c r="C103" s="261"/>
      <c r="D103" s="261"/>
      <c r="E103" s="261"/>
      <c r="F103" s="262"/>
    </row>
    <row r="104" spans="1:8" hidden="1">
      <c r="A104" s="6" t="s">
        <v>544</v>
      </c>
      <c r="B104" s="261" t="s">
        <v>545</v>
      </c>
      <c r="C104" s="261" t="s">
        <v>65</v>
      </c>
      <c r="D104" s="261">
        <v>0</v>
      </c>
      <c r="E104" s="261">
        <f>ROUNDUP(22124*1.4,-1)</f>
        <v>30980</v>
      </c>
      <c r="F104" s="262">
        <f>PRODUCT(D104:E104)</f>
        <v>0</v>
      </c>
      <c r="H104" s="17">
        <v>2</v>
      </c>
    </row>
    <row r="105" spans="1:8" hidden="1">
      <c r="A105" s="259"/>
      <c r="B105" s="261"/>
      <c r="C105" s="261"/>
      <c r="D105" s="261"/>
      <c r="E105" s="261"/>
      <c r="F105" s="262"/>
    </row>
    <row r="106" spans="1:8">
      <c r="A106" s="6" t="s">
        <v>546</v>
      </c>
      <c r="B106" s="261" t="s">
        <v>547</v>
      </c>
      <c r="C106" s="261" t="s">
        <v>65</v>
      </c>
      <c r="D106" s="261">
        <f>'[34]Water Ret Qtys'!J57</f>
        <v>2</v>
      </c>
      <c r="E106" s="261">
        <f>ROUNDUP(21175*1.4,-1)</f>
        <v>29650</v>
      </c>
      <c r="F106" s="262">
        <f>PRODUCT(D106:E106)</f>
        <v>59300</v>
      </c>
      <c r="H106" s="17">
        <v>2</v>
      </c>
    </row>
    <row r="107" spans="1:8">
      <c r="A107" s="6"/>
      <c r="B107" s="261"/>
      <c r="C107" s="261"/>
      <c r="D107" s="261"/>
      <c r="E107" s="261"/>
      <c r="F107" s="262"/>
    </row>
    <row r="108" spans="1:8">
      <c r="A108" s="6" t="s">
        <v>548</v>
      </c>
      <c r="B108" s="261" t="s">
        <v>549</v>
      </c>
      <c r="C108" s="261" t="s">
        <v>65</v>
      </c>
      <c r="D108" s="261">
        <f>'[34]Water Ret Qtys'!J56</f>
        <v>4</v>
      </c>
      <c r="E108" s="261">
        <f>ROUNDUP(21175*1.4,-1)</f>
        <v>29650</v>
      </c>
      <c r="F108" s="262">
        <f>PRODUCT(D108:E108)</f>
        <v>118600</v>
      </c>
      <c r="H108" s="17">
        <v>2</v>
      </c>
    </row>
    <row r="109" spans="1:8">
      <c r="A109" s="6"/>
      <c r="B109" s="261"/>
      <c r="C109" s="261"/>
      <c r="D109" s="261"/>
      <c r="E109" s="261"/>
      <c r="F109" s="262"/>
    </row>
    <row r="110" spans="1:8" ht="12.75" customHeight="1">
      <c r="A110" s="6" t="s">
        <v>551</v>
      </c>
      <c r="B110" s="261" t="s">
        <v>552</v>
      </c>
      <c r="C110" s="261" t="s">
        <v>65</v>
      </c>
      <c r="D110" s="261">
        <f>'[34]Water Ret Qtys'!J58</f>
        <v>5</v>
      </c>
      <c r="E110" s="261">
        <f>ROUNDUP(18860*1.4,-1)</f>
        <v>26410</v>
      </c>
      <c r="F110" s="262">
        <f>PRODUCT(D110:E110)</f>
        <v>132050</v>
      </c>
      <c r="H110" s="17">
        <v>6</v>
      </c>
    </row>
    <row r="111" spans="1:8">
      <c r="A111" s="259"/>
      <c r="B111" s="261"/>
      <c r="C111" s="261"/>
      <c r="D111" s="261"/>
      <c r="E111" s="261"/>
      <c r="F111" s="262"/>
    </row>
    <row r="112" spans="1:8">
      <c r="A112" s="6" t="s">
        <v>553</v>
      </c>
      <c r="B112" s="261" t="s">
        <v>554</v>
      </c>
      <c r="C112" s="261" t="s">
        <v>65</v>
      </c>
      <c r="D112" s="261"/>
      <c r="E112" s="261">
        <f>ROUNDUP(17768*1.4,-1)</f>
        <v>24880</v>
      </c>
      <c r="F112" s="262">
        <f>PRODUCT(D112:E112)</f>
        <v>24880</v>
      </c>
      <c r="H112" s="17">
        <v>2</v>
      </c>
    </row>
    <row r="113" spans="1:8" ht="12.75" customHeight="1">
      <c r="A113" s="259"/>
      <c r="B113" s="261"/>
      <c r="C113" s="261"/>
      <c r="D113" s="261"/>
      <c r="E113" s="261"/>
      <c r="F113" s="262"/>
    </row>
    <row r="114" spans="1:8">
      <c r="A114" s="6" t="s">
        <v>555</v>
      </c>
      <c r="B114" s="261" t="s">
        <v>556</v>
      </c>
      <c r="C114" s="261" t="s">
        <v>65</v>
      </c>
      <c r="D114" s="261">
        <f>'[34]Water Ret Qtys'!J59</f>
        <v>5</v>
      </c>
      <c r="E114" s="261">
        <f>ROUNDUP(12794*1.4,-1)</f>
        <v>17920</v>
      </c>
      <c r="F114" s="262">
        <f>PRODUCT(D114:E114)</f>
        <v>89600</v>
      </c>
      <c r="H114" s="17">
        <v>3</v>
      </c>
    </row>
    <row r="115" spans="1:8" ht="13" thickBot="1">
      <c r="A115" s="259"/>
      <c r="B115" s="261"/>
      <c r="C115" s="261"/>
      <c r="D115" s="261"/>
      <c r="E115" s="261"/>
      <c r="F115" s="262"/>
    </row>
    <row r="116" spans="1:8" s="3" customFormat="1" ht="13" thickTop="1">
      <c r="A116" s="15"/>
      <c r="B116" s="10"/>
      <c r="C116" s="104"/>
      <c r="D116" s="119"/>
      <c r="E116" s="105"/>
      <c r="F116" s="80"/>
    </row>
    <row r="117" spans="1:8" s="3" customFormat="1" ht="13">
      <c r="A117" s="106"/>
      <c r="B117" s="107" t="s">
        <v>301</v>
      </c>
      <c r="C117" s="108"/>
      <c r="D117" s="120"/>
      <c r="E117" s="109"/>
      <c r="F117" s="75">
        <f>SUM(F55:F114)</f>
        <v>91843770</v>
      </c>
    </row>
    <row r="118" spans="1:8" s="3" customFormat="1" ht="13" thickBot="1">
      <c r="A118" s="12"/>
      <c r="B118" s="110"/>
      <c r="C118" s="111"/>
      <c r="D118" s="122"/>
      <c r="E118" s="112"/>
      <c r="F118" s="82"/>
    </row>
    <row r="119" spans="1:8" ht="13.5" thickTop="1">
      <c r="A119" s="267"/>
      <c r="B119" s="1544"/>
      <c r="C119" s="1544"/>
      <c r="D119" s="1544"/>
      <c r="E119" s="1544"/>
      <c r="F119" s="136"/>
    </row>
    <row r="120" spans="1:8" ht="12.75" customHeight="1">
      <c r="A120" s="1546" t="str">
        <f>A51</f>
        <v>BILL 8 - DISTRIBUTION NETWORK</v>
      </c>
      <c r="B120" s="1542"/>
      <c r="C120" s="1542"/>
      <c r="D120" s="1542"/>
      <c r="E120" s="1542"/>
      <c r="F120" s="1547"/>
    </row>
    <row r="121" spans="1:8" ht="13" thickBot="1">
      <c r="A121" s="91"/>
      <c r="B121" s="17"/>
      <c r="C121" s="123"/>
      <c r="D121" s="127"/>
      <c r="E121" s="128"/>
      <c r="F121" s="135"/>
    </row>
    <row r="122" spans="1:8" ht="27" thickTop="1" thickBot="1">
      <c r="A122" s="13" t="s">
        <v>4</v>
      </c>
      <c r="B122" s="129" t="s">
        <v>5</v>
      </c>
      <c r="C122" s="129" t="s">
        <v>6</v>
      </c>
      <c r="D122" s="130" t="s">
        <v>1</v>
      </c>
      <c r="E122" s="131" t="s">
        <v>7</v>
      </c>
      <c r="F122" s="76" t="s">
        <v>8</v>
      </c>
      <c r="H122" s="17" t="s">
        <v>1</v>
      </c>
    </row>
    <row r="123" spans="1:8" ht="13" thickTop="1">
      <c r="A123" s="274"/>
      <c r="B123" s="270"/>
      <c r="C123" s="270"/>
      <c r="D123" s="270"/>
      <c r="E123" s="261"/>
      <c r="F123" s="262"/>
    </row>
    <row r="124" spans="1:8" hidden="1">
      <c r="A124" s="6" t="s">
        <v>548</v>
      </c>
      <c r="B124" s="261" t="s">
        <v>550</v>
      </c>
      <c r="C124" s="261" t="s">
        <v>65</v>
      </c>
      <c r="D124" s="261">
        <f>'[34]Water Ret Qtys'!J58</f>
        <v>5</v>
      </c>
      <c r="E124" s="261">
        <f>ROUNDUP(20355*1.4,-1)</f>
        <v>28500</v>
      </c>
      <c r="F124" s="262">
        <f>PRODUCT(D124:E124)</f>
        <v>142500</v>
      </c>
      <c r="H124" s="17">
        <v>7</v>
      </c>
    </row>
    <row r="125" spans="1:8" hidden="1">
      <c r="A125" s="259"/>
      <c r="B125" s="261"/>
      <c r="C125" s="261"/>
      <c r="D125" s="261"/>
      <c r="E125" s="261"/>
      <c r="F125" s="262"/>
    </row>
    <row r="126" spans="1:8">
      <c r="A126" s="6" t="s">
        <v>557</v>
      </c>
      <c r="B126" s="261" t="s">
        <v>558</v>
      </c>
      <c r="C126" s="261" t="s">
        <v>65</v>
      </c>
      <c r="D126" s="261">
        <f>'[34]Water Ret Qtys'!J61</f>
        <v>5</v>
      </c>
      <c r="E126" s="261">
        <f>ROUNDUP(12045*1.4,-1)</f>
        <v>16870</v>
      </c>
      <c r="F126" s="262">
        <f>PRODUCT(D126:E126)</f>
        <v>84350</v>
      </c>
      <c r="H126" s="17">
        <v>1</v>
      </c>
    </row>
    <row r="127" spans="1:8">
      <c r="A127" s="259"/>
      <c r="B127" s="261"/>
      <c r="C127" s="261"/>
      <c r="D127" s="261"/>
      <c r="E127" s="261"/>
      <c r="F127" s="262"/>
    </row>
    <row r="128" spans="1:8" hidden="1">
      <c r="A128" s="6" t="s">
        <v>559</v>
      </c>
      <c r="B128" s="261" t="s">
        <v>560</v>
      </c>
      <c r="C128" s="261" t="s">
        <v>65</v>
      </c>
      <c r="D128" s="261"/>
      <c r="E128" s="261">
        <f>ROUNDUP(9515*1.4,-1)</f>
        <v>13330</v>
      </c>
      <c r="F128" s="262">
        <f>PRODUCT(D128:E128)</f>
        <v>13330</v>
      </c>
      <c r="H128" s="17">
        <v>3</v>
      </c>
    </row>
    <row r="129" spans="1:8" hidden="1">
      <c r="A129" s="259"/>
      <c r="B129" s="261"/>
      <c r="C129" s="261"/>
      <c r="D129" s="261"/>
      <c r="E129" s="261"/>
      <c r="F129" s="262"/>
    </row>
    <row r="130" spans="1:8">
      <c r="A130" s="6" t="s">
        <v>561</v>
      </c>
      <c r="B130" s="261" t="s">
        <v>562</v>
      </c>
      <c r="C130" s="261" t="s">
        <v>65</v>
      </c>
      <c r="D130" s="261">
        <f>'[34]Water Ret Qtys'!J62</f>
        <v>3</v>
      </c>
      <c r="E130" s="261">
        <v>10000</v>
      </c>
      <c r="F130" s="262">
        <f>PRODUCT(D130:E130)</f>
        <v>30000</v>
      </c>
      <c r="H130" s="17">
        <v>3</v>
      </c>
    </row>
    <row r="131" spans="1:8">
      <c r="A131" s="259"/>
      <c r="B131" s="261"/>
      <c r="C131" s="261"/>
      <c r="D131" s="261"/>
      <c r="E131" s="261"/>
      <c r="F131" s="262"/>
    </row>
    <row r="132" spans="1:8" ht="25">
      <c r="A132" s="259"/>
      <c r="B132" s="261" t="s">
        <v>563</v>
      </c>
      <c r="C132" s="261"/>
      <c r="D132" s="261"/>
      <c r="E132" s="261"/>
      <c r="F132" s="262"/>
    </row>
    <row r="133" spans="1:8">
      <c r="A133" s="6" t="s">
        <v>538</v>
      </c>
      <c r="B133" s="261" t="s">
        <v>564</v>
      </c>
      <c r="C133" s="261" t="s">
        <v>65</v>
      </c>
      <c r="D133" s="261">
        <f>'[34]Water Ret Qtys'!L56</f>
        <v>3</v>
      </c>
      <c r="E133" s="261">
        <f>ROUNDUP(27745*1.8,-1)</f>
        <v>49950</v>
      </c>
      <c r="F133" s="262">
        <f>PRODUCT(D133:E133)</f>
        <v>149850</v>
      </c>
      <c r="H133" s="17">
        <v>2</v>
      </c>
    </row>
    <row r="134" spans="1:8">
      <c r="A134" s="259"/>
      <c r="B134" s="261"/>
      <c r="C134" s="261"/>
      <c r="D134" s="261"/>
      <c r="E134" s="261"/>
      <c r="F134" s="262"/>
    </row>
    <row r="135" spans="1:8">
      <c r="A135" s="6" t="s">
        <v>540</v>
      </c>
      <c r="B135" s="261" t="s">
        <v>565</v>
      </c>
      <c r="C135" s="261" t="s">
        <v>65</v>
      </c>
      <c r="D135" s="261">
        <f>'[34]Water Ret Qtys'!L57</f>
        <v>4</v>
      </c>
      <c r="E135" s="261">
        <f>ROUNDUP(23015*1.8,-1)</f>
        <v>41430</v>
      </c>
      <c r="F135" s="262">
        <f>PRODUCT(D135:E135)</f>
        <v>165720</v>
      </c>
      <c r="H135" s="17">
        <v>4</v>
      </c>
    </row>
    <row r="136" spans="1:8">
      <c r="A136" s="259"/>
      <c r="B136" s="261"/>
      <c r="C136" s="261"/>
      <c r="D136" s="261"/>
      <c r="E136" s="261"/>
      <c r="F136" s="262"/>
    </row>
    <row r="137" spans="1:8">
      <c r="A137" s="6" t="s">
        <v>542</v>
      </c>
      <c r="B137" s="261" t="s">
        <v>566</v>
      </c>
      <c r="C137" s="261" t="s">
        <v>65</v>
      </c>
      <c r="D137" s="261">
        <f>'[34]Water Ret Qtys'!L58</f>
        <v>4</v>
      </c>
      <c r="E137" s="261">
        <f>ROUNDUP(22124*1.8,-1)</f>
        <v>39830</v>
      </c>
      <c r="F137" s="262">
        <f>PRODUCT(D137:E137)</f>
        <v>159320</v>
      </c>
      <c r="H137" s="17">
        <v>2</v>
      </c>
    </row>
    <row r="138" spans="1:8">
      <c r="A138" s="259"/>
      <c r="B138" s="261"/>
      <c r="C138" s="261"/>
      <c r="D138" s="261"/>
      <c r="E138" s="261"/>
      <c r="F138" s="262"/>
    </row>
    <row r="139" spans="1:8" ht="37.5">
      <c r="A139" s="272"/>
      <c r="B139" s="263" t="s">
        <v>567</v>
      </c>
      <c r="C139" s="270"/>
      <c r="D139" s="270"/>
      <c r="E139" s="261"/>
      <c r="F139" s="262"/>
    </row>
    <row r="140" spans="1:8">
      <c r="A140" s="274"/>
      <c r="B140" s="261"/>
      <c r="C140" s="270"/>
      <c r="D140" s="270"/>
      <c r="E140" s="261"/>
      <c r="F140" s="262"/>
    </row>
    <row r="141" spans="1:8" ht="25" hidden="1">
      <c r="A141" s="6" t="s">
        <v>568</v>
      </c>
      <c r="B141" s="273" t="s">
        <v>569</v>
      </c>
      <c r="C141" s="273" t="s">
        <v>65</v>
      </c>
      <c r="D141" s="273">
        <f>'[34]Water Ret Qtys'!J75</f>
        <v>0</v>
      </c>
      <c r="E141" s="261">
        <v>70000</v>
      </c>
      <c r="F141" s="262">
        <f>PRODUCT(D141:E141)</f>
        <v>0</v>
      </c>
      <c r="H141" s="17">
        <v>3</v>
      </c>
    </row>
    <row r="142" spans="1:8" hidden="1">
      <c r="A142" s="272"/>
      <c r="B142" s="273"/>
      <c r="C142" s="273"/>
      <c r="D142" s="273"/>
      <c r="E142" s="261"/>
      <c r="F142" s="262"/>
    </row>
    <row r="143" spans="1:8" ht="25">
      <c r="A143" s="6" t="s">
        <v>570</v>
      </c>
      <c r="B143" s="273" t="s">
        <v>571</v>
      </c>
      <c r="C143" s="273" t="s">
        <v>65</v>
      </c>
      <c r="D143" s="273">
        <f>'[34]Water Ret Qtys'!J74</f>
        <v>5</v>
      </c>
      <c r="E143" s="261">
        <v>50000</v>
      </c>
      <c r="F143" s="262">
        <f>PRODUCT(D143:E143)</f>
        <v>250000</v>
      </c>
      <c r="H143" s="17">
        <v>4</v>
      </c>
    </row>
    <row r="144" spans="1:8" s="3" customFormat="1">
      <c r="A144" s="272"/>
      <c r="B144" s="273"/>
      <c r="C144" s="273"/>
      <c r="D144" s="273"/>
      <c r="E144" s="261"/>
      <c r="F144" s="262"/>
    </row>
    <row r="145" spans="1:8" s="3" customFormat="1" ht="25">
      <c r="A145" s="6" t="s">
        <v>572</v>
      </c>
      <c r="B145" s="273" t="s">
        <v>573</v>
      </c>
      <c r="C145" s="273" t="s">
        <v>65</v>
      </c>
      <c r="D145" s="273">
        <f>'[34]Water Ret Qtys'!J73</f>
        <v>3</v>
      </c>
      <c r="E145" s="261">
        <v>45000</v>
      </c>
      <c r="F145" s="262">
        <f>PRODUCT(D145:E145)</f>
        <v>135000</v>
      </c>
      <c r="H145" s="3">
        <v>5</v>
      </c>
    </row>
    <row r="146" spans="1:8" s="3" customFormat="1">
      <c r="A146" s="272"/>
      <c r="B146" s="273"/>
      <c r="C146" s="273"/>
      <c r="D146" s="273"/>
      <c r="E146" s="261"/>
      <c r="F146" s="262"/>
    </row>
    <row r="147" spans="1:8" ht="25">
      <c r="A147" s="6" t="s">
        <v>574</v>
      </c>
      <c r="B147" s="273" t="s">
        <v>575</v>
      </c>
      <c r="C147" s="273" t="s">
        <v>65</v>
      </c>
      <c r="D147" s="273">
        <f>'[34]Water Ret Qtys'!J72</f>
        <v>8</v>
      </c>
      <c r="E147" s="261">
        <v>40000</v>
      </c>
      <c r="F147" s="262">
        <f>PRODUCT(D147:E147)</f>
        <v>320000</v>
      </c>
      <c r="H147" s="17">
        <v>5</v>
      </c>
    </row>
    <row r="148" spans="1:8" ht="12.75" customHeight="1">
      <c r="A148" s="272"/>
      <c r="B148" s="273"/>
      <c r="C148" s="273"/>
      <c r="D148" s="273"/>
      <c r="E148" s="261"/>
      <c r="F148" s="262"/>
    </row>
    <row r="149" spans="1:8" ht="25">
      <c r="A149" s="6" t="s">
        <v>576</v>
      </c>
      <c r="B149" s="273" t="s">
        <v>577</v>
      </c>
      <c r="C149" s="273" t="s">
        <v>65</v>
      </c>
      <c r="D149" s="273">
        <f>'[34]Water Ret Qtys'!J71</f>
        <v>14</v>
      </c>
      <c r="E149" s="261">
        <v>37000</v>
      </c>
      <c r="F149" s="262">
        <f>PRODUCT(D149:E149)</f>
        <v>518000</v>
      </c>
      <c r="H149" s="17">
        <v>14</v>
      </c>
    </row>
    <row r="150" spans="1:8" ht="11.25" customHeight="1">
      <c r="A150" s="272"/>
      <c r="B150" s="270"/>
      <c r="C150" s="273"/>
      <c r="D150" s="273"/>
      <c r="E150" s="261"/>
      <c r="F150" s="262"/>
    </row>
    <row r="151" spans="1:8">
      <c r="A151" s="274"/>
      <c r="B151" s="270"/>
      <c r="C151" s="270"/>
      <c r="D151" s="270"/>
      <c r="E151" s="261"/>
      <c r="F151" s="262"/>
    </row>
    <row r="152" spans="1:8" ht="25" hidden="1">
      <c r="A152" s="6" t="s">
        <v>578</v>
      </c>
      <c r="B152" s="261" t="s">
        <v>579</v>
      </c>
      <c r="C152" s="273" t="s">
        <v>65</v>
      </c>
      <c r="D152" s="273">
        <f>(D141+D92+D94+D96)*2</f>
        <v>0</v>
      </c>
      <c r="E152" s="261">
        <v>15000</v>
      </c>
      <c r="F152" s="262">
        <f>PRODUCT(D152:E152)</f>
        <v>0</v>
      </c>
      <c r="H152" s="17">
        <v>18</v>
      </c>
    </row>
    <row r="153" spans="1:8" hidden="1">
      <c r="A153" s="272"/>
      <c r="B153" s="261"/>
      <c r="C153" s="273"/>
      <c r="D153" s="273"/>
      <c r="E153" s="261"/>
      <c r="F153" s="262"/>
    </row>
    <row r="154" spans="1:8" ht="25">
      <c r="A154" s="6" t="s">
        <v>580</v>
      </c>
      <c r="B154" s="261" t="s">
        <v>581</v>
      </c>
      <c r="C154" s="273" t="s">
        <v>65</v>
      </c>
      <c r="D154" s="273">
        <f>(D98+D100+D102+D104+D143)*2+D92</f>
        <v>30</v>
      </c>
      <c r="E154" s="261">
        <v>12000</v>
      </c>
      <c r="F154" s="262">
        <f>PRODUCT(D154:E154)</f>
        <v>360000</v>
      </c>
      <c r="H154" s="17">
        <v>30</v>
      </c>
    </row>
    <row r="155" spans="1:8">
      <c r="A155" s="272"/>
      <c r="B155" s="270"/>
      <c r="C155" s="270"/>
      <c r="D155" s="270"/>
      <c r="E155" s="261"/>
      <c r="F155" s="262"/>
    </row>
    <row r="156" spans="1:8" s="246" customFormat="1" ht="12.75" customHeight="1">
      <c r="A156" s="6" t="s">
        <v>582</v>
      </c>
      <c r="B156" s="261" t="s">
        <v>583</v>
      </c>
      <c r="C156" s="273" t="s">
        <v>65</v>
      </c>
      <c r="D156" s="273">
        <f>(D106+D124+D110+D112+D145)*2</f>
        <v>30</v>
      </c>
      <c r="E156" s="261">
        <v>10000</v>
      </c>
      <c r="F156" s="262">
        <f>PRODUCT(D156:E156)</f>
        <v>300000</v>
      </c>
      <c r="H156" s="246">
        <v>44</v>
      </c>
    </row>
    <row r="157" spans="1:8" s="276" customFormat="1" ht="11.25" customHeight="1">
      <c r="A157" s="272"/>
      <c r="B157" s="270"/>
      <c r="C157" s="270"/>
      <c r="D157" s="270"/>
      <c r="E157" s="261"/>
      <c r="F157" s="262"/>
    </row>
    <row r="158" spans="1:8" s="276" customFormat="1" ht="12.75" customHeight="1">
      <c r="A158" s="6" t="s">
        <v>584</v>
      </c>
      <c r="B158" s="261" t="s">
        <v>585</v>
      </c>
      <c r="C158" s="273" t="s">
        <v>65</v>
      </c>
      <c r="D158" s="273">
        <f>(D114+D126)*2</f>
        <v>20</v>
      </c>
      <c r="E158" s="261">
        <v>8000</v>
      </c>
      <c r="F158" s="262">
        <f>PRODUCT(D158:E158)</f>
        <v>160000</v>
      </c>
      <c r="H158" s="276">
        <v>8</v>
      </c>
    </row>
    <row r="159" spans="1:8" s="249" customFormat="1">
      <c r="A159" s="272"/>
      <c r="B159" s="261"/>
      <c r="C159" s="273"/>
      <c r="D159" s="273"/>
      <c r="E159" s="261"/>
      <c r="F159" s="262"/>
    </row>
    <row r="160" spans="1:8" s="276" customFormat="1" ht="12.75" customHeight="1">
      <c r="A160" s="6" t="s">
        <v>586</v>
      </c>
      <c r="B160" s="261" t="s">
        <v>587</v>
      </c>
      <c r="C160" s="273" t="s">
        <v>65</v>
      </c>
      <c r="D160" s="273">
        <f>(D128+D147)*2+D106+D98</f>
        <v>20</v>
      </c>
      <c r="E160" s="261">
        <v>7000</v>
      </c>
      <c r="F160" s="262">
        <f>PRODUCT(D160:E160)</f>
        <v>140000</v>
      </c>
      <c r="H160" s="276">
        <v>20</v>
      </c>
    </row>
    <row r="161" spans="1:8" s="249" customFormat="1">
      <c r="A161" s="272"/>
      <c r="B161" s="261"/>
      <c r="C161" s="273"/>
      <c r="D161" s="273"/>
      <c r="E161" s="261"/>
      <c r="F161" s="262"/>
    </row>
    <row r="162" spans="1:8" s="249" customFormat="1">
      <c r="A162" s="6" t="s">
        <v>588</v>
      </c>
      <c r="B162" s="261" t="s">
        <v>589</v>
      </c>
      <c r="C162" s="273" t="s">
        <v>65</v>
      </c>
      <c r="D162" s="273">
        <f>(D130+D149)*2+D130+D128+D114+D124+D100+D94</f>
        <v>51</v>
      </c>
      <c r="E162" s="261">
        <v>6000</v>
      </c>
      <c r="F162" s="262">
        <f>PRODUCT(D162:E162)</f>
        <v>306000</v>
      </c>
      <c r="H162" s="249">
        <v>56</v>
      </c>
    </row>
    <row r="163" spans="1:8" s="249" customFormat="1">
      <c r="A163" s="6"/>
      <c r="B163" s="261"/>
      <c r="C163" s="273"/>
      <c r="D163" s="273"/>
      <c r="E163" s="261"/>
      <c r="F163" s="262"/>
    </row>
    <row r="164" spans="1:8" s="249" customFormat="1" ht="25">
      <c r="A164" s="6" t="s">
        <v>592</v>
      </c>
      <c r="B164" s="261" t="s">
        <v>593</v>
      </c>
      <c r="C164" s="273" t="s">
        <v>65</v>
      </c>
      <c r="D164" s="273">
        <f>D154</f>
        <v>30</v>
      </c>
      <c r="E164" s="261">
        <v>9000</v>
      </c>
      <c r="F164" s="262">
        <f>PRODUCT(D164:E164)</f>
        <v>270000</v>
      </c>
      <c r="H164" s="249">
        <v>30</v>
      </c>
    </row>
    <row r="165" spans="1:8" s="276" customFormat="1" ht="12.75" customHeight="1">
      <c r="A165" s="272"/>
      <c r="B165" s="270"/>
      <c r="C165" s="270"/>
      <c r="D165" s="270"/>
      <c r="E165" s="261"/>
      <c r="F165" s="262"/>
    </row>
    <row r="166" spans="1:8" s="249" customFormat="1">
      <c r="A166" s="6" t="s">
        <v>594</v>
      </c>
      <c r="B166" s="261" t="s">
        <v>595</v>
      </c>
      <c r="C166" s="273" t="s">
        <v>65</v>
      </c>
      <c r="D166" s="273">
        <f>D156</f>
        <v>30</v>
      </c>
      <c r="E166" s="261">
        <v>7000</v>
      </c>
      <c r="F166" s="262">
        <f>PRODUCT(D166:E166)</f>
        <v>210000</v>
      </c>
      <c r="H166" s="249">
        <v>44</v>
      </c>
    </row>
    <row r="167" spans="1:8" s="246" customFormat="1" ht="12.75" customHeight="1">
      <c r="A167" s="272"/>
      <c r="B167" s="270"/>
      <c r="C167" s="270"/>
      <c r="D167" s="270"/>
      <c r="E167" s="261"/>
      <c r="F167" s="262"/>
    </row>
    <row r="168" spans="1:8" s="249" customFormat="1" ht="12.75" customHeight="1">
      <c r="A168" s="6" t="s">
        <v>596</v>
      </c>
      <c r="B168" s="261" t="s">
        <v>597</v>
      </c>
      <c r="C168" s="273" t="s">
        <v>65</v>
      </c>
      <c r="D168" s="273">
        <f>D158</f>
        <v>20</v>
      </c>
      <c r="E168" s="261">
        <v>6000</v>
      </c>
      <c r="F168" s="262">
        <f>PRODUCT(D168:E168)</f>
        <v>120000</v>
      </c>
      <c r="H168" s="249">
        <v>8</v>
      </c>
    </row>
    <row r="169" spans="1:8" s="249" customFormat="1" ht="12.75" customHeight="1">
      <c r="A169" s="272"/>
      <c r="B169" s="261"/>
      <c r="C169" s="273"/>
      <c r="D169" s="273"/>
      <c r="E169" s="261"/>
      <c r="F169" s="262"/>
    </row>
    <row r="170" spans="1:8">
      <c r="A170" s="6" t="s">
        <v>598</v>
      </c>
      <c r="B170" s="261" t="s">
        <v>599</v>
      </c>
      <c r="C170" s="273" t="s">
        <v>65</v>
      </c>
      <c r="D170" s="273">
        <f>D160</f>
        <v>20</v>
      </c>
      <c r="E170" s="261">
        <v>5500</v>
      </c>
      <c r="F170" s="262">
        <f>PRODUCT(D170:E170)</f>
        <v>110000</v>
      </c>
      <c r="H170" s="17">
        <v>20</v>
      </c>
    </row>
    <row r="171" spans="1:8">
      <c r="A171" s="6"/>
      <c r="B171" s="261"/>
      <c r="C171" s="273"/>
      <c r="D171" s="273"/>
      <c r="E171" s="261"/>
      <c r="F171" s="262"/>
    </row>
    <row r="172" spans="1:8">
      <c r="A172" s="6" t="s">
        <v>600</v>
      </c>
      <c r="B172" s="261" t="s">
        <v>601</v>
      </c>
      <c r="C172" s="273" t="s">
        <v>65</v>
      </c>
      <c r="D172" s="273">
        <f>D162</f>
        <v>51</v>
      </c>
      <c r="E172" s="261">
        <v>4500</v>
      </c>
      <c r="F172" s="262">
        <f>PRODUCT(D172:E172)</f>
        <v>229500</v>
      </c>
      <c r="H172" s="17">
        <v>56</v>
      </c>
    </row>
    <row r="173" spans="1:8">
      <c r="A173" s="6"/>
      <c r="B173" s="261"/>
      <c r="C173" s="273"/>
      <c r="D173" s="273"/>
      <c r="E173" s="261"/>
      <c r="F173" s="262"/>
    </row>
    <row r="174" spans="1:8">
      <c r="A174" s="272"/>
      <c r="B174" s="270"/>
      <c r="C174" s="270"/>
      <c r="D174" s="270"/>
      <c r="E174" s="261"/>
      <c r="F174" s="262"/>
    </row>
    <row r="175" spans="1:8">
      <c r="A175" s="272"/>
      <c r="B175" s="270"/>
      <c r="C175" s="270"/>
      <c r="D175" s="270"/>
      <c r="E175" s="261"/>
      <c r="F175" s="262"/>
    </row>
    <row r="176" spans="1:8">
      <c r="A176" s="272"/>
      <c r="B176" s="270"/>
      <c r="C176" s="270"/>
      <c r="D176" s="270"/>
      <c r="E176" s="261"/>
      <c r="F176" s="262"/>
    </row>
    <row r="177" spans="1:8" ht="14.25" customHeight="1">
      <c r="A177" s="259"/>
      <c r="B177" s="261"/>
      <c r="C177" s="273"/>
      <c r="D177" s="273"/>
      <c r="E177" s="261"/>
      <c r="F177" s="262"/>
    </row>
    <row r="178" spans="1:8" s="249" customFormat="1" ht="13" thickBot="1">
      <c r="A178" s="272"/>
      <c r="B178" s="270"/>
      <c r="C178" s="270"/>
      <c r="D178" s="270"/>
      <c r="E178" s="261"/>
      <c r="F178" s="262"/>
    </row>
    <row r="179" spans="1:8" s="249" customFormat="1" ht="25.5" hidden="1" thickBot="1">
      <c r="A179" s="6" t="s">
        <v>590</v>
      </c>
      <c r="B179" s="261" t="s">
        <v>591</v>
      </c>
      <c r="C179" s="273" t="s">
        <v>65</v>
      </c>
      <c r="D179" s="273">
        <f>D152</f>
        <v>0</v>
      </c>
      <c r="E179" s="261">
        <v>10000</v>
      </c>
      <c r="F179" s="262">
        <f>PRODUCT(D179:E179)</f>
        <v>0</v>
      </c>
      <c r="H179" s="249">
        <v>18</v>
      </c>
    </row>
    <row r="180" spans="1:8" s="3" customFormat="1" ht="13" thickTop="1">
      <c r="A180" s="15"/>
      <c r="B180" s="10"/>
      <c r="C180" s="104"/>
      <c r="D180" s="119"/>
      <c r="E180" s="105"/>
      <c r="F180" s="80"/>
    </row>
    <row r="181" spans="1:8" s="3" customFormat="1" ht="13">
      <c r="A181" s="106"/>
      <c r="B181" s="107" t="s">
        <v>301</v>
      </c>
      <c r="C181" s="108"/>
      <c r="D181" s="120"/>
      <c r="E181" s="109"/>
      <c r="F181" s="75">
        <f>SUM(F126:F174)</f>
        <v>4031070</v>
      </c>
    </row>
    <row r="182" spans="1:8" s="3" customFormat="1" ht="13" thickBot="1">
      <c r="A182" s="12"/>
      <c r="B182" s="110"/>
      <c r="C182" s="111"/>
      <c r="D182" s="122"/>
      <c r="E182" s="112"/>
      <c r="F182" s="82"/>
    </row>
    <row r="183" spans="1:8" ht="13.5" thickTop="1">
      <c r="A183" s="267"/>
      <c r="B183" s="1544"/>
      <c r="C183" s="1544"/>
      <c r="D183" s="1544"/>
      <c r="E183" s="1544"/>
      <c r="F183" s="136"/>
    </row>
    <row r="184" spans="1:8" ht="12.75" customHeight="1">
      <c r="A184" s="1546" t="str">
        <f>A120</f>
        <v>BILL 8 - DISTRIBUTION NETWORK</v>
      </c>
      <c r="B184" s="1542"/>
      <c r="C184" s="1542"/>
      <c r="D184" s="1542"/>
      <c r="E184" s="1542"/>
      <c r="F184" s="1547"/>
    </row>
    <row r="185" spans="1:8" ht="13" thickBot="1">
      <c r="A185" s="91"/>
      <c r="B185" s="17"/>
      <c r="C185" s="123"/>
      <c r="D185" s="127"/>
      <c r="E185" s="128"/>
      <c r="F185" s="135"/>
    </row>
    <row r="186" spans="1:8" ht="27" thickTop="1" thickBot="1">
      <c r="A186" s="13" t="s">
        <v>4</v>
      </c>
      <c r="B186" s="129" t="s">
        <v>5</v>
      </c>
      <c r="C186" s="129" t="s">
        <v>6</v>
      </c>
      <c r="D186" s="130" t="s">
        <v>1</v>
      </c>
      <c r="E186" s="131" t="s">
        <v>7</v>
      </c>
      <c r="F186" s="76" t="s">
        <v>8</v>
      </c>
      <c r="H186" s="17" t="s">
        <v>1</v>
      </c>
    </row>
    <row r="187" spans="1:8" s="246" customFormat="1" ht="12.75" customHeight="1" thickTop="1">
      <c r="A187" s="277"/>
      <c r="B187" s="278"/>
      <c r="C187" s="278"/>
      <c r="D187" s="278"/>
      <c r="E187" s="278"/>
      <c r="F187" s="262"/>
    </row>
    <row r="188" spans="1:8" ht="13">
      <c r="A188" s="259"/>
      <c r="B188" s="279" t="s">
        <v>602</v>
      </c>
      <c r="C188" s="261"/>
      <c r="D188" s="261"/>
      <c r="E188" s="261"/>
      <c r="F188" s="262"/>
    </row>
    <row r="189" spans="1:8">
      <c r="A189" s="259"/>
      <c r="B189" s="261"/>
      <c r="C189" s="261"/>
      <c r="D189" s="261"/>
      <c r="E189" s="261"/>
      <c r="F189" s="262"/>
    </row>
    <row r="190" spans="1:8" ht="25">
      <c r="A190" s="259"/>
      <c r="B190" s="263" t="s">
        <v>603</v>
      </c>
      <c r="C190" s="261"/>
      <c r="D190" s="261"/>
      <c r="E190" s="261"/>
      <c r="F190" s="262"/>
    </row>
    <row r="191" spans="1:8">
      <c r="A191" s="259"/>
      <c r="B191" s="263"/>
      <c r="C191" s="261"/>
      <c r="D191" s="261"/>
      <c r="E191" s="261"/>
      <c r="F191" s="262"/>
    </row>
    <row r="192" spans="1:8" hidden="1">
      <c r="A192" s="259" t="s">
        <v>321</v>
      </c>
      <c r="B192" s="261" t="s">
        <v>604</v>
      </c>
      <c r="C192" s="261" t="s">
        <v>65</v>
      </c>
      <c r="D192" s="273"/>
      <c r="E192" s="261">
        <f>36000*1.2</f>
        <v>43200</v>
      </c>
      <c r="F192" s="262">
        <f>PRODUCT(D192:E192)</f>
        <v>43200</v>
      </c>
      <c r="H192" s="17">
        <v>3</v>
      </c>
    </row>
    <row r="193" spans="1:8" hidden="1">
      <c r="A193" s="259"/>
      <c r="B193" s="261"/>
      <c r="C193" s="261"/>
      <c r="D193" s="273"/>
      <c r="E193" s="261"/>
      <c r="F193" s="262"/>
    </row>
    <row r="194" spans="1:8">
      <c r="A194" s="259" t="s">
        <v>323</v>
      </c>
      <c r="B194" s="261" t="s">
        <v>605</v>
      </c>
      <c r="C194" s="261" t="s">
        <v>65</v>
      </c>
      <c r="D194" s="273">
        <f>'[34]Water Ret Qtys'!J68</f>
        <v>6</v>
      </c>
      <c r="E194" s="261">
        <v>30000</v>
      </c>
      <c r="F194" s="262">
        <f>PRODUCT(D194:E194)</f>
        <v>180000</v>
      </c>
      <c r="H194" s="17">
        <v>5</v>
      </c>
    </row>
    <row r="195" spans="1:8">
      <c r="A195" s="259"/>
      <c r="B195" s="261"/>
      <c r="C195" s="261"/>
      <c r="D195" s="273"/>
      <c r="E195" s="261"/>
      <c r="F195" s="262"/>
    </row>
    <row r="196" spans="1:8">
      <c r="A196" s="259" t="s">
        <v>323</v>
      </c>
      <c r="B196" s="261" t="s">
        <v>606</v>
      </c>
      <c r="C196" s="261" t="s">
        <v>65</v>
      </c>
      <c r="D196" s="273">
        <f>'[34]Water Ret Qtys'!J67</f>
        <v>5</v>
      </c>
      <c r="E196" s="261">
        <f>15500*1.2</f>
        <v>18600</v>
      </c>
      <c r="F196" s="262">
        <f>PRODUCT(D196:E196)</f>
        <v>93000</v>
      </c>
      <c r="H196" s="17">
        <v>6</v>
      </c>
    </row>
    <row r="197" spans="1:8">
      <c r="A197" s="259"/>
      <c r="B197" s="261"/>
      <c r="C197" s="261"/>
      <c r="D197" s="273"/>
      <c r="E197" s="261"/>
      <c r="F197" s="262"/>
    </row>
    <row r="198" spans="1:8" ht="12.75" customHeight="1">
      <c r="A198" s="259" t="s">
        <v>326</v>
      </c>
      <c r="B198" s="261" t="s">
        <v>607</v>
      </c>
      <c r="C198" s="261" t="s">
        <v>65</v>
      </c>
      <c r="D198" s="273">
        <v>1</v>
      </c>
      <c r="E198" s="261">
        <f>12500*1.2</f>
        <v>15000</v>
      </c>
      <c r="F198" s="262">
        <f>PRODUCT(D198:E198)</f>
        <v>15000</v>
      </c>
      <c r="H198" s="17">
        <v>1</v>
      </c>
    </row>
    <row r="199" spans="1:8">
      <c r="A199" s="259"/>
      <c r="B199" s="261"/>
      <c r="C199" s="261"/>
      <c r="D199" s="273"/>
      <c r="E199" s="261"/>
      <c r="F199" s="262"/>
    </row>
    <row r="200" spans="1:8">
      <c r="A200" s="259" t="s">
        <v>326</v>
      </c>
      <c r="B200" s="261" t="s">
        <v>608</v>
      </c>
      <c r="C200" s="261" t="s">
        <v>65</v>
      </c>
      <c r="D200" s="273">
        <v>1</v>
      </c>
      <c r="E200" s="261">
        <f>8500*1.2</f>
        <v>10200</v>
      </c>
      <c r="F200" s="262">
        <f>PRODUCT(D200:E200)</f>
        <v>10200</v>
      </c>
      <c r="H200" s="17">
        <v>1</v>
      </c>
    </row>
    <row r="201" spans="1:8">
      <c r="A201" s="259"/>
      <c r="B201" s="261"/>
      <c r="C201" s="261"/>
      <c r="D201" s="273"/>
      <c r="E201" s="261"/>
      <c r="F201" s="262"/>
    </row>
    <row r="202" spans="1:8">
      <c r="A202" s="259" t="s">
        <v>609</v>
      </c>
      <c r="B202" s="261" t="s">
        <v>610</v>
      </c>
      <c r="C202" s="261" t="s">
        <v>65</v>
      </c>
      <c r="D202" s="273">
        <f>'[34]Water Ret Qtys'!J65</f>
        <v>6</v>
      </c>
      <c r="E202" s="261">
        <f>5550*1.2</f>
        <v>6660</v>
      </c>
      <c r="F202" s="262">
        <f>PRODUCT(D202:E202)</f>
        <v>39960</v>
      </c>
      <c r="H202" s="17">
        <v>2</v>
      </c>
    </row>
    <row r="203" spans="1:8">
      <c r="A203" s="259"/>
      <c r="B203" s="261"/>
      <c r="C203" s="261"/>
      <c r="D203" s="261"/>
      <c r="E203" s="261"/>
      <c r="F203" s="262"/>
    </row>
    <row r="204" spans="1:8" ht="13">
      <c r="A204" s="259"/>
      <c r="B204" s="279" t="s">
        <v>611</v>
      </c>
      <c r="C204" s="261"/>
      <c r="D204" s="261"/>
      <c r="E204" s="261"/>
      <c r="F204" s="262"/>
    </row>
    <row r="205" spans="1:8">
      <c r="A205" s="259"/>
      <c r="B205" s="261"/>
      <c r="C205" s="261"/>
      <c r="D205" s="261"/>
      <c r="E205" s="261"/>
      <c r="F205" s="262"/>
    </row>
    <row r="206" spans="1:8" s="3" customFormat="1" ht="25">
      <c r="A206" s="6" t="s">
        <v>612</v>
      </c>
      <c r="B206" s="263" t="s">
        <v>613</v>
      </c>
      <c r="C206" s="261"/>
      <c r="D206" s="261">
        <f>'[34]Water Ret Qtys'!J79</f>
        <v>2</v>
      </c>
      <c r="E206" s="261">
        <f>8500*1.2</f>
        <v>10200</v>
      </c>
      <c r="F206" s="262">
        <f>PRODUCT(D206:E206)</f>
        <v>20400</v>
      </c>
      <c r="H206" s="3">
        <v>2</v>
      </c>
    </row>
    <row r="207" spans="1:8" s="3" customFormat="1">
      <c r="A207" s="259"/>
      <c r="B207" s="261"/>
      <c r="C207" s="261"/>
      <c r="D207" s="261"/>
      <c r="E207" s="261"/>
      <c r="F207" s="262"/>
    </row>
    <row r="208" spans="1:8" s="3" customFormat="1">
      <c r="A208" s="6" t="s">
        <v>614</v>
      </c>
      <c r="B208" s="261" t="s">
        <v>615</v>
      </c>
      <c r="C208" s="261" t="s">
        <v>65</v>
      </c>
      <c r="D208" s="261">
        <f>'[34]Water Ret Qtys'!J80</f>
        <v>3</v>
      </c>
      <c r="E208" s="261">
        <f>6400*1.2</f>
        <v>7680</v>
      </c>
      <c r="F208" s="262">
        <f>PRODUCT(D208:E208)</f>
        <v>23040</v>
      </c>
      <c r="H208" s="3">
        <v>3</v>
      </c>
    </row>
    <row r="209" spans="1:8">
      <c r="A209" s="259"/>
      <c r="B209" s="261"/>
      <c r="C209" s="261"/>
      <c r="D209" s="261"/>
      <c r="E209" s="261"/>
      <c r="F209" s="262"/>
    </row>
    <row r="210" spans="1:8" ht="12.75" customHeight="1">
      <c r="A210" s="6" t="s">
        <v>616</v>
      </c>
      <c r="B210" s="261" t="s">
        <v>617</v>
      </c>
      <c r="C210" s="261" t="s">
        <v>65</v>
      </c>
      <c r="D210" s="261">
        <f>'[34]Water Ret Qtys'!J81</f>
        <v>3</v>
      </c>
      <c r="E210" s="261">
        <f>5000*1.2</f>
        <v>6000</v>
      </c>
      <c r="F210" s="262">
        <f>PRODUCT(D210:E210)</f>
        <v>18000</v>
      </c>
      <c r="H210" s="17">
        <v>3</v>
      </c>
    </row>
    <row r="211" spans="1:8">
      <c r="A211" s="259"/>
      <c r="B211" s="261"/>
      <c r="C211" s="261"/>
      <c r="D211" s="261"/>
      <c r="E211" s="261"/>
      <c r="F211" s="262"/>
    </row>
    <row r="212" spans="1:8">
      <c r="A212" s="6" t="s">
        <v>618</v>
      </c>
      <c r="B212" s="261" t="s">
        <v>619</v>
      </c>
      <c r="C212" s="261" t="s">
        <v>65</v>
      </c>
      <c r="D212" s="261">
        <v>1</v>
      </c>
      <c r="E212" s="261">
        <f>4300*1.2</f>
        <v>5160</v>
      </c>
      <c r="F212" s="262">
        <f>PRODUCT(D212:E212)</f>
        <v>5160</v>
      </c>
      <c r="H212" s="17">
        <v>1</v>
      </c>
    </row>
    <row r="213" spans="1:8">
      <c r="A213" s="259"/>
      <c r="B213" s="261"/>
      <c r="C213" s="261"/>
      <c r="D213" s="261"/>
      <c r="E213" s="261"/>
      <c r="F213" s="262"/>
    </row>
    <row r="214" spans="1:8">
      <c r="A214" s="6" t="s">
        <v>620</v>
      </c>
      <c r="B214" s="261" t="s">
        <v>621</v>
      </c>
      <c r="C214" s="261" t="s">
        <v>65</v>
      </c>
      <c r="D214" s="261">
        <f>'[34]Water Ret Qtys'!J82</f>
        <v>2</v>
      </c>
      <c r="E214" s="261">
        <f>4300*1.2</f>
        <v>5160</v>
      </c>
      <c r="F214" s="262">
        <f>PRODUCT(D214:E214)</f>
        <v>10320</v>
      </c>
      <c r="H214" s="17">
        <v>2</v>
      </c>
    </row>
    <row r="215" spans="1:8">
      <c r="A215" s="6"/>
      <c r="B215" s="261"/>
      <c r="C215" s="261"/>
      <c r="D215" s="261"/>
      <c r="E215" s="261"/>
      <c r="F215" s="262"/>
    </row>
    <row r="216" spans="1:8">
      <c r="A216" s="6" t="s">
        <v>620</v>
      </c>
      <c r="B216" s="261" t="s">
        <v>622</v>
      </c>
      <c r="C216" s="261" t="s">
        <v>65</v>
      </c>
      <c r="D216" s="261">
        <v>5</v>
      </c>
      <c r="E216" s="261">
        <f>4300*1.2</f>
        <v>5160</v>
      </c>
      <c r="F216" s="262">
        <f>PRODUCT(D216:E216)</f>
        <v>25800</v>
      </c>
      <c r="H216" s="17">
        <v>2</v>
      </c>
    </row>
    <row r="217" spans="1:8">
      <c r="A217" s="259"/>
      <c r="B217" s="261"/>
      <c r="C217" s="261"/>
      <c r="D217" s="261"/>
      <c r="E217" s="261"/>
      <c r="F217" s="262"/>
    </row>
    <row r="218" spans="1:8" s="3" customFormat="1" ht="25">
      <c r="A218" s="6" t="s">
        <v>612</v>
      </c>
      <c r="B218" s="263" t="s">
        <v>623</v>
      </c>
      <c r="C218" s="261" t="s">
        <v>65</v>
      </c>
      <c r="D218" s="261">
        <v>3</v>
      </c>
      <c r="E218" s="261">
        <f>8500*1.2</f>
        <v>10200</v>
      </c>
      <c r="F218" s="262">
        <f>PRODUCT(D218:E218)</f>
        <v>30600</v>
      </c>
      <c r="H218" s="3">
        <v>2</v>
      </c>
    </row>
    <row r="219" spans="1:8">
      <c r="A219" s="259"/>
      <c r="B219" s="261"/>
      <c r="C219" s="261"/>
      <c r="D219" s="261"/>
      <c r="E219" s="261"/>
      <c r="F219" s="262"/>
    </row>
    <row r="220" spans="1:8" ht="13">
      <c r="A220" s="259"/>
      <c r="B220" s="279" t="s">
        <v>624</v>
      </c>
      <c r="C220" s="261"/>
      <c r="D220" s="261"/>
      <c r="E220" s="261"/>
      <c r="F220" s="262"/>
    </row>
    <row r="221" spans="1:8" ht="37.5">
      <c r="A221" s="6" t="s">
        <v>625</v>
      </c>
      <c r="B221" s="261" t="s">
        <v>626</v>
      </c>
      <c r="C221" s="261" t="s">
        <v>13</v>
      </c>
      <c r="D221" s="261">
        <v>3</v>
      </c>
      <c r="E221" s="261">
        <v>250000</v>
      </c>
      <c r="F221" s="262">
        <f>PRODUCT(D221:E221)</f>
        <v>750000</v>
      </c>
      <c r="H221" s="17">
        <v>1</v>
      </c>
    </row>
    <row r="222" spans="1:8">
      <c r="A222" s="6"/>
      <c r="B222" s="261"/>
      <c r="C222" s="261"/>
      <c r="D222" s="261"/>
      <c r="E222" s="261"/>
      <c r="F222" s="262"/>
    </row>
    <row r="223" spans="1:8" ht="26">
      <c r="A223" s="25"/>
      <c r="B223" s="148" t="s">
        <v>26</v>
      </c>
      <c r="C223" s="116"/>
      <c r="D223" s="149"/>
      <c r="E223" s="150"/>
      <c r="F223" s="171"/>
    </row>
    <row r="224" spans="1:8">
      <c r="A224" s="259"/>
      <c r="B224" s="261"/>
      <c r="C224" s="261"/>
      <c r="D224" s="261"/>
      <c r="E224" s="261"/>
      <c r="F224" s="262"/>
    </row>
    <row r="225" spans="1:8" ht="13">
      <c r="A225" s="259"/>
      <c r="B225" s="279" t="s">
        <v>27</v>
      </c>
      <c r="C225" s="261"/>
      <c r="D225" s="261"/>
      <c r="E225" s="261"/>
      <c r="F225" s="262"/>
    </row>
    <row r="226" spans="1:8">
      <c r="A226" s="259"/>
      <c r="B226" s="261"/>
      <c r="C226" s="261"/>
      <c r="D226" s="261"/>
      <c r="E226" s="261"/>
      <c r="F226" s="262"/>
    </row>
    <row r="227" spans="1:8" ht="37.5">
      <c r="A227" s="255"/>
      <c r="B227" s="263" t="s">
        <v>627</v>
      </c>
      <c r="C227" s="261"/>
      <c r="D227" s="261"/>
      <c r="E227" s="261"/>
      <c r="F227" s="262"/>
    </row>
    <row r="228" spans="1:8" ht="25">
      <c r="A228" s="6" t="s">
        <v>369</v>
      </c>
      <c r="B228" s="261" t="s">
        <v>628</v>
      </c>
      <c r="C228" s="261" t="s">
        <v>65</v>
      </c>
      <c r="D228" s="261">
        <f>D85</f>
        <v>16</v>
      </c>
      <c r="E228" s="261">
        <v>40000</v>
      </c>
      <c r="F228" s="262">
        <f>PRODUCT(D228:E228)</f>
        <v>640000</v>
      </c>
      <c r="H228" s="17">
        <v>11</v>
      </c>
    </row>
    <row r="229" spans="1:8">
      <c r="A229" s="6"/>
      <c r="B229" s="261"/>
      <c r="C229" s="261"/>
      <c r="D229" s="261"/>
      <c r="E229" s="261"/>
      <c r="F229" s="262"/>
    </row>
    <row r="230" spans="1:8" ht="25">
      <c r="A230" s="6" t="s">
        <v>629</v>
      </c>
      <c r="B230" s="261" t="s">
        <v>630</v>
      </c>
      <c r="C230" s="261" t="s">
        <v>631</v>
      </c>
      <c r="D230" s="280">
        <f>SUM(D92:D138)+10</f>
        <v>60</v>
      </c>
      <c r="E230" s="261">
        <v>25000</v>
      </c>
      <c r="F230" s="262">
        <f>PRODUCT(D230:E230)</f>
        <v>1500000</v>
      </c>
      <c r="H230" s="17">
        <v>53</v>
      </c>
    </row>
    <row r="231" spans="1:8">
      <c r="A231" s="259"/>
      <c r="B231" s="261"/>
      <c r="C231" s="261"/>
      <c r="D231" s="280"/>
      <c r="E231" s="261"/>
      <c r="F231" s="262"/>
    </row>
    <row r="232" spans="1:8" ht="25">
      <c r="A232" s="6" t="s">
        <v>632</v>
      </c>
      <c r="B232" s="261" t="s">
        <v>633</v>
      </c>
      <c r="C232" s="261" t="s">
        <v>631</v>
      </c>
      <c r="D232" s="273">
        <f>D87</f>
        <v>3</v>
      </c>
      <c r="E232" s="261">
        <v>25000</v>
      </c>
      <c r="F232" s="262">
        <f>PRODUCT(D232:E232)</f>
        <v>75000</v>
      </c>
      <c r="H232" s="17">
        <v>0</v>
      </c>
    </row>
    <row r="233" spans="1:8" ht="12.75" customHeight="1" thickBot="1">
      <c r="A233" s="259"/>
      <c r="B233" s="261"/>
      <c r="C233" s="261"/>
      <c r="D233" s="261"/>
      <c r="E233" s="261"/>
      <c r="F233" s="262"/>
    </row>
    <row r="234" spans="1:8" s="3" customFormat="1" ht="13" thickTop="1">
      <c r="A234" s="15"/>
      <c r="B234" s="10"/>
      <c r="C234" s="104"/>
      <c r="D234" s="119"/>
      <c r="E234" s="105"/>
      <c r="F234" s="80"/>
    </row>
    <row r="235" spans="1:8" s="3" customFormat="1" ht="13">
      <c r="A235" s="106"/>
      <c r="B235" s="107" t="s">
        <v>301</v>
      </c>
      <c r="C235" s="108"/>
      <c r="D235" s="120"/>
      <c r="E235" s="109"/>
      <c r="F235" s="75">
        <f>SUM(F188:F233)</f>
        <v>3479680</v>
      </c>
    </row>
    <row r="236" spans="1:8" s="3" customFormat="1" ht="13" thickBot="1">
      <c r="A236" s="12"/>
      <c r="B236" s="110"/>
      <c r="C236" s="111"/>
      <c r="D236" s="122"/>
      <c r="E236" s="112"/>
      <c r="F236" s="82"/>
    </row>
    <row r="237" spans="1:8" ht="13.5" thickTop="1">
      <c r="A237" s="267"/>
      <c r="B237" s="1544"/>
      <c r="C237" s="1544"/>
      <c r="D237" s="1544"/>
      <c r="E237" s="1544"/>
      <c r="F237" s="136"/>
    </row>
    <row r="238" spans="1:8" ht="12.75" customHeight="1">
      <c r="A238" s="1546" t="str">
        <f>A184</f>
        <v>BILL 8 - DISTRIBUTION NETWORK</v>
      </c>
      <c r="B238" s="1542"/>
      <c r="C238" s="1542"/>
      <c r="D238" s="1542"/>
      <c r="E238" s="1542"/>
      <c r="F238" s="1547"/>
    </row>
    <row r="239" spans="1:8" ht="13" thickBot="1">
      <c r="A239" s="91"/>
      <c r="B239" s="17"/>
      <c r="C239" s="123"/>
      <c r="D239" s="127"/>
      <c r="E239" s="128"/>
      <c r="F239" s="135"/>
    </row>
    <row r="240" spans="1:8" ht="27" thickTop="1" thickBot="1">
      <c r="A240" s="13" t="s">
        <v>4</v>
      </c>
      <c r="B240" s="129" t="s">
        <v>5</v>
      </c>
      <c r="C240" s="129" t="s">
        <v>6</v>
      </c>
      <c r="D240" s="130" t="s">
        <v>1</v>
      </c>
      <c r="E240" s="131" t="s">
        <v>7</v>
      </c>
      <c r="F240" s="76" t="s">
        <v>8</v>
      </c>
      <c r="H240" s="17" t="s">
        <v>1</v>
      </c>
    </row>
    <row r="241" spans="1:8" ht="13" thickTop="1">
      <c r="A241" s="259"/>
      <c r="B241" s="261"/>
      <c r="C241" s="261"/>
      <c r="D241" s="280"/>
      <c r="E241" s="261"/>
      <c r="F241" s="262"/>
    </row>
    <row r="242" spans="1:8">
      <c r="A242" s="259"/>
      <c r="B242" s="261"/>
      <c r="C242" s="261"/>
      <c r="D242" s="261"/>
      <c r="E242" s="261"/>
      <c r="F242" s="262"/>
    </row>
    <row r="243" spans="1:8" ht="13">
      <c r="A243" s="6"/>
      <c r="B243" s="176" t="s">
        <v>391</v>
      </c>
      <c r="C243" s="116"/>
      <c r="D243" s="149"/>
      <c r="E243" s="150"/>
      <c r="F243" s="171"/>
    </row>
    <row r="244" spans="1:8">
      <c r="A244" s="6"/>
      <c r="B244" s="151"/>
      <c r="C244" s="116"/>
      <c r="D244" s="149"/>
      <c r="E244" s="150"/>
      <c r="F244" s="171"/>
    </row>
    <row r="245" spans="1:8" ht="26">
      <c r="A245" s="6"/>
      <c r="B245" s="152" t="s">
        <v>392</v>
      </c>
      <c r="C245" s="116"/>
      <c r="D245" s="149"/>
      <c r="E245" s="150"/>
      <c r="F245" s="171"/>
    </row>
    <row r="246" spans="1:8" ht="26">
      <c r="A246" s="6"/>
      <c r="B246" s="177" t="s">
        <v>634</v>
      </c>
      <c r="C246" s="116"/>
      <c r="D246" s="149"/>
      <c r="E246" s="150"/>
      <c r="F246" s="171"/>
    </row>
    <row r="247" spans="1:8" ht="13">
      <c r="A247" s="6"/>
      <c r="B247" s="177"/>
      <c r="C247" s="116"/>
      <c r="D247" s="149"/>
      <c r="E247" s="150"/>
      <c r="F247" s="171"/>
    </row>
    <row r="248" spans="1:8" ht="25">
      <c r="A248" s="6" t="s">
        <v>393</v>
      </c>
      <c r="B248" s="151" t="s">
        <v>635</v>
      </c>
      <c r="C248" s="116" t="s">
        <v>9</v>
      </c>
      <c r="D248" s="149">
        <v>30</v>
      </c>
      <c r="E248" s="150">
        <v>7000</v>
      </c>
      <c r="F248" s="171">
        <f>D248*E248</f>
        <v>210000</v>
      </c>
      <c r="H248" s="17">
        <v>30</v>
      </c>
    </row>
    <row r="249" spans="1:8">
      <c r="A249" s="6"/>
      <c r="B249" s="151"/>
      <c r="C249" s="116"/>
      <c r="D249" s="149"/>
      <c r="E249" s="150"/>
      <c r="F249" s="171"/>
    </row>
    <row r="250" spans="1:8" ht="25">
      <c r="A250" s="6" t="s">
        <v>395</v>
      </c>
      <c r="B250" s="151" t="s">
        <v>636</v>
      </c>
      <c r="C250" s="116" t="s">
        <v>9</v>
      </c>
      <c r="D250" s="149">
        <f>24*10</f>
        <v>240</v>
      </c>
      <c r="E250" s="150">
        <v>3000</v>
      </c>
      <c r="F250" s="171">
        <f>D250*E250</f>
        <v>720000</v>
      </c>
      <c r="H250" s="17">
        <v>240</v>
      </c>
    </row>
    <row r="251" spans="1:8">
      <c r="A251" s="5"/>
      <c r="B251" s="85"/>
      <c r="C251" s="57"/>
      <c r="D251" s="138"/>
      <c r="E251" s="118"/>
      <c r="F251" s="221"/>
    </row>
    <row r="252" spans="1:8" ht="13">
      <c r="A252" s="5"/>
      <c r="B252" s="87" t="s">
        <v>372</v>
      </c>
      <c r="C252" s="281"/>
      <c r="D252" s="138"/>
      <c r="E252" s="118"/>
      <c r="F252" s="221"/>
    </row>
    <row r="253" spans="1:8">
      <c r="A253" s="5"/>
      <c r="B253" s="85"/>
      <c r="C253" s="281"/>
      <c r="D253" s="138"/>
      <c r="E253" s="118"/>
      <c r="F253" s="221"/>
    </row>
    <row r="254" spans="1:8" s="247" customFormat="1" ht="12.75" customHeight="1">
      <c r="A254" s="204" t="s">
        <v>373</v>
      </c>
      <c r="B254" s="205" t="s">
        <v>637</v>
      </c>
      <c r="C254" s="209" t="s">
        <v>43</v>
      </c>
      <c r="D254" s="207">
        <v>4</v>
      </c>
      <c r="E254" s="207">
        <v>300000</v>
      </c>
      <c r="F254" s="208">
        <f>+D254*E254</f>
        <v>1200000</v>
      </c>
      <c r="H254" s="247">
        <v>4</v>
      </c>
    </row>
    <row r="255" spans="1:8" s="249" customFormat="1">
      <c r="A255" s="41"/>
      <c r="B255" s="205"/>
      <c r="C255" s="99"/>
      <c r="D255" s="114"/>
      <c r="E255" s="114"/>
      <c r="F255" s="210"/>
    </row>
    <row r="256" spans="1:8" s="249" customFormat="1" ht="37.5">
      <c r="A256" s="41"/>
      <c r="B256" s="205" t="s">
        <v>638</v>
      </c>
      <c r="C256" s="99"/>
      <c r="D256" s="114"/>
      <c r="E256" s="114"/>
      <c r="F256" s="210"/>
    </row>
    <row r="257" spans="1:42" s="249" customFormat="1">
      <c r="A257" s="41"/>
      <c r="B257" s="205"/>
      <c r="C257" s="99"/>
      <c r="D257" s="114"/>
      <c r="E257" s="114"/>
      <c r="F257" s="210"/>
    </row>
    <row r="258" spans="1:42" s="249" customFormat="1">
      <c r="A258" s="41" t="s">
        <v>639</v>
      </c>
      <c r="B258" s="205" t="s">
        <v>640</v>
      </c>
      <c r="C258" s="99" t="s">
        <v>43</v>
      </c>
      <c r="D258" s="114">
        <v>50</v>
      </c>
      <c r="E258" s="114">
        <v>5000</v>
      </c>
      <c r="F258" s="210">
        <f>D258*E258</f>
        <v>250000</v>
      </c>
      <c r="H258" s="249">
        <v>50</v>
      </c>
    </row>
    <row r="259" spans="1:42" s="249" customFormat="1">
      <c r="A259" s="41"/>
      <c r="B259" s="205"/>
      <c r="C259" s="99"/>
      <c r="D259" s="114"/>
      <c r="E259" s="114"/>
      <c r="F259" s="210"/>
    </row>
    <row r="260" spans="1:42" s="134" customFormat="1">
      <c r="A260" s="282" t="s">
        <v>377</v>
      </c>
      <c r="B260" s="211" t="s">
        <v>641</v>
      </c>
      <c r="C260" s="186" t="s">
        <v>10</v>
      </c>
      <c r="D260" s="283">
        <v>25</v>
      </c>
      <c r="E260" s="284">
        <v>6000</v>
      </c>
      <c r="F260" s="285">
        <f>D260*E260</f>
        <v>150000</v>
      </c>
      <c r="G260" s="286"/>
      <c r="H260" s="287">
        <v>25</v>
      </c>
      <c r="I260" s="288"/>
      <c r="J260" s="287"/>
      <c r="K260" s="288"/>
      <c r="L260" s="287"/>
      <c r="M260" s="288"/>
      <c r="N260" s="287"/>
      <c r="O260" s="288"/>
      <c r="P260" s="287"/>
      <c r="Q260" s="288"/>
      <c r="R260" s="287"/>
      <c r="S260" s="288"/>
      <c r="T260" s="289">
        <f>R260+P260</f>
        <v>0</v>
      </c>
      <c r="U260" s="288"/>
      <c r="V260" s="287"/>
      <c r="W260" s="288"/>
      <c r="X260" s="289">
        <f>V260+T260</f>
        <v>0</v>
      </c>
      <c r="Y260" s="288"/>
      <c r="Z260" s="287"/>
      <c r="AA260" s="290">
        <f t="shared" ref="AA260:AB262" si="0">Y260+W260</f>
        <v>0</v>
      </c>
      <c r="AB260" s="289">
        <f t="shared" si="0"/>
        <v>0</v>
      </c>
      <c r="AC260" s="288"/>
      <c r="AD260" s="289">
        <f>AC260*E260</f>
        <v>0</v>
      </c>
      <c r="AE260" s="290">
        <f t="shared" ref="AE260:AF262" si="1">AC260+AA260</f>
        <v>0</v>
      </c>
      <c r="AF260" s="289">
        <f t="shared" si="1"/>
        <v>0</v>
      </c>
      <c r="AG260" s="288"/>
      <c r="AH260" s="289">
        <f>AG260*E260</f>
        <v>0</v>
      </c>
      <c r="AI260" s="290">
        <f t="shared" ref="AI260:AJ262" si="2">AG260+AE260</f>
        <v>0</v>
      </c>
      <c r="AJ260" s="289">
        <f t="shared" si="2"/>
        <v>0</v>
      </c>
      <c r="AK260" s="288"/>
      <c r="AL260" s="289">
        <f>AK260*E260</f>
        <v>0</v>
      </c>
      <c r="AM260" s="290">
        <f t="shared" ref="AM260:AN262" si="3">AK260+AI260</f>
        <v>0</v>
      </c>
      <c r="AN260" s="289">
        <f t="shared" si="3"/>
        <v>0</v>
      </c>
      <c r="AO260" s="291"/>
      <c r="AP260" s="289">
        <f>AO260*E260</f>
        <v>0</v>
      </c>
    </row>
    <row r="261" spans="1:42" s="134" customFormat="1">
      <c r="A261" s="282"/>
      <c r="B261" s="211"/>
      <c r="C261" s="181"/>
      <c r="D261" s="283"/>
      <c r="E261" s="284"/>
      <c r="F261" s="292"/>
      <c r="G261" s="286"/>
      <c r="H261" s="287"/>
      <c r="I261" s="288"/>
      <c r="J261" s="287"/>
      <c r="K261" s="288"/>
      <c r="L261" s="287"/>
      <c r="M261" s="288"/>
      <c r="N261" s="287"/>
      <c r="O261" s="288"/>
      <c r="P261" s="287"/>
      <c r="Q261" s="288"/>
      <c r="R261" s="287"/>
      <c r="S261" s="288"/>
      <c r="T261" s="289">
        <f>R261+P261</f>
        <v>0</v>
      </c>
      <c r="U261" s="288"/>
      <c r="V261" s="287"/>
      <c r="W261" s="288"/>
      <c r="X261" s="289">
        <f>V261+T261</f>
        <v>0</v>
      </c>
      <c r="Y261" s="288"/>
      <c r="Z261" s="287"/>
      <c r="AA261" s="290">
        <f t="shared" si="0"/>
        <v>0</v>
      </c>
      <c r="AB261" s="289">
        <f t="shared" si="0"/>
        <v>0</v>
      </c>
      <c r="AC261" s="288"/>
      <c r="AD261" s="289">
        <f>AC261*E261</f>
        <v>0</v>
      </c>
      <c r="AE261" s="290">
        <f t="shared" si="1"/>
        <v>0</v>
      </c>
      <c r="AF261" s="289">
        <f t="shared" si="1"/>
        <v>0</v>
      </c>
      <c r="AG261" s="288"/>
      <c r="AH261" s="289">
        <f>AG261*E261</f>
        <v>0</v>
      </c>
      <c r="AI261" s="290">
        <f t="shared" si="2"/>
        <v>0</v>
      </c>
      <c r="AJ261" s="289">
        <f t="shared" si="2"/>
        <v>0</v>
      </c>
      <c r="AK261" s="288"/>
      <c r="AL261" s="289">
        <f>AK261*E261</f>
        <v>0</v>
      </c>
      <c r="AM261" s="290">
        <f t="shared" si="3"/>
        <v>0</v>
      </c>
      <c r="AN261" s="289">
        <f t="shared" si="3"/>
        <v>0</v>
      </c>
      <c r="AO261" s="291"/>
      <c r="AP261" s="289">
        <f>AO261*E261</f>
        <v>0</v>
      </c>
    </row>
    <row r="262" spans="1:42" s="134" customFormat="1">
      <c r="A262" s="282" t="s">
        <v>379</v>
      </c>
      <c r="B262" s="211" t="s">
        <v>642</v>
      </c>
      <c r="C262" s="186" t="s">
        <v>10</v>
      </c>
      <c r="D262" s="283">
        <v>20</v>
      </c>
      <c r="E262" s="284">
        <v>9000</v>
      </c>
      <c r="F262" s="285">
        <f>D262*E262</f>
        <v>180000</v>
      </c>
      <c r="G262" s="286"/>
      <c r="H262" s="287">
        <v>20</v>
      </c>
      <c r="I262" s="288"/>
      <c r="J262" s="287"/>
      <c r="K262" s="288"/>
      <c r="L262" s="287"/>
      <c r="M262" s="288"/>
      <c r="N262" s="287"/>
      <c r="O262" s="288"/>
      <c r="P262" s="287"/>
      <c r="Q262" s="288"/>
      <c r="R262" s="287"/>
      <c r="S262" s="288"/>
      <c r="T262" s="289">
        <f>R262+P262</f>
        <v>0</v>
      </c>
      <c r="U262" s="288"/>
      <c r="V262" s="287"/>
      <c r="W262" s="288"/>
      <c r="X262" s="289">
        <f>V262+T262</f>
        <v>0</v>
      </c>
      <c r="Y262" s="288"/>
      <c r="Z262" s="287"/>
      <c r="AA262" s="290">
        <f t="shared" si="0"/>
        <v>0</v>
      </c>
      <c r="AB262" s="289">
        <f t="shared" si="0"/>
        <v>0</v>
      </c>
      <c r="AC262" s="288"/>
      <c r="AD262" s="289">
        <f>AC262*E262</f>
        <v>0</v>
      </c>
      <c r="AE262" s="290">
        <f t="shared" si="1"/>
        <v>0</v>
      </c>
      <c r="AF262" s="289">
        <f t="shared" si="1"/>
        <v>0</v>
      </c>
      <c r="AG262" s="288"/>
      <c r="AH262" s="289">
        <f>AG262*E262</f>
        <v>0</v>
      </c>
      <c r="AI262" s="290">
        <f t="shared" si="2"/>
        <v>0</v>
      </c>
      <c r="AJ262" s="289">
        <f t="shared" si="2"/>
        <v>0</v>
      </c>
      <c r="AK262" s="288"/>
      <c r="AL262" s="289">
        <f>AK262*E262</f>
        <v>0</v>
      </c>
      <c r="AM262" s="290">
        <f t="shared" si="3"/>
        <v>0</v>
      </c>
      <c r="AN262" s="289">
        <f t="shared" si="3"/>
        <v>0</v>
      </c>
      <c r="AO262" s="291"/>
      <c r="AP262" s="289">
        <f>AO262*E262</f>
        <v>0</v>
      </c>
    </row>
    <row r="263" spans="1:42" s="249" customFormat="1">
      <c r="A263" s="41"/>
      <c r="B263" s="293"/>
      <c r="C263" s="99"/>
      <c r="D263" s="114"/>
      <c r="E263" s="114"/>
      <c r="F263" s="210"/>
    </row>
    <row r="264" spans="1:42" ht="13">
      <c r="A264" s="5"/>
      <c r="B264" s="222" t="s">
        <v>397</v>
      </c>
      <c r="C264" s="57"/>
      <c r="D264" s="138"/>
      <c r="E264" s="118"/>
      <c r="F264" s="221"/>
    </row>
    <row r="265" spans="1:42">
      <c r="A265" s="5"/>
      <c r="B265" s="85"/>
      <c r="C265" s="57"/>
      <c r="D265" s="138"/>
      <c r="E265" s="118"/>
      <c r="F265" s="221"/>
    </row>
    <row r="266" spans="1:42" ht="50">
      <c r="A266" s="5"/>
      <c r="B266" s="263" t="s">
        <v>643</v>
      </c>
      <c r="C266" s="57"/>
      <c r="D266" s="138"/>
      <c r="E266" s="118"/>
      <c r="F266" s="221"/>
    </row>
    <row r="267" spans="1:42" ht="13">
      <c r="A267" s="5"/>
      <c r="B267" s="222"/>
      <c r="C267" s="57"/>
      <c r="D267" s="138"/>
      <c r="E267" s="118"/>
      <c r="F267" s="221"/>
    </row>
    <row r="268" spans="1:42">
      <c r="A268" s="5" t="s">
        <v>399</v>
      </c>
      <c r="B268" s="85" t="s">
        <v>644</v>
      </c>
      <c r="C268" s="57" t="s">
        <v>10</v>
      </c>
      <c r="D268" s="138">
        <f>SUM(D43:D65)/350</f>
        <v>119.88571428571429</v>
      </c>
      <c r="E268" s="118">
        <v>3000</v>
      </c>
      <c r="F268" s="171">
        <f>D268*E268</f>
        <v>359657.14285714284</v>
      </c>
      <c r="H268" s="17">
        <v>21.742857142857144</v>
      </c>
    </row>
    <row r="269" spans="1:42" ht="13">
      <c r="A269" s="5"/>
      <c r="B269" s="222"/>
      <c r="C269" s="57"/>
      <c r="D269" s="138"/>
      <c r="E269" s="118"/>
      <c r="F269" s="171"/>
    </row>
    <row r="270" spans="1:42">
      <c r="A270" s="5" t="s">
        <v>401</v>
      </c>
      <c r="B270" s="85" t="s">
        <v>645</v>
      </c>
      <c r="C270" s="57" t="s">
        <v>10</v>
      </c>
      <c r="D270" s="138">
        <f>SUM(D72:D82)</f>
        <v>19</v>
      </c>
      <c r="E270" s="118">
        <v>3000</v>
      </c>
      <c r="F270" s="171">
        <f>D270*E270</f>
        <v>57000</v>
      </c>
      <c r="H270" s="17">
        <v>10</v>
      </c>
    </row>
    <row r="271" spans="1:42" ht="13">
      <c r="A271" s="5"/>
      <c r="B271" s="222"/>
      <c r="C271" s="57"/>
      <c r="D271" s="138"/>
      <c r="E271" s="118"/>
      <c r="F271" s="171"/>
    </row>
    <row r="272" spans="1:42">
      <c r="A272" s="5" t="s">
        <v>403</v>
      </c>
      <c r="B272" s="85" t="s">
        <v>646</v>
      </c>
      <c r="C272" s="57" t="s">
        <v>10</v>
      </c>
      <c r="D272" s="138">
        <f>SUM(D84:D115)</f>
        <v>45</v>
      </c>
      <c r="E272" s="118">
        <v>3000</v>
      </c>
      <c r="F272" s="171">
        <f>D272*E272</f>
        <v>135000</v>
      </c>
      <c r="H272" s="17">
        <v>11</v>
      </c>
    </row>
    <row r="273" spans="1:32">
      <c r="A273" s="259"/>
      <c r="B273" s="260"/>
      <c r="C273" s="261"/>
      <c r="D273" s="261"/>
      <c r="E273" s="261"/>
      <c r="F273" s="262"/>
    </row>
    <row r="274" spans="1:32" ht="39">
      <c r="A274" s="1"/>
      <c r="B274" s="87" t="s">
        <v>28</v>
      </c>
      <c r="C274" s="57"/>
      <c r="D274" s="138"/>
      <c r="E274" s="118"/>
      <c r="F274" s="171"/>
    </row>
    <row r="275" spans="1:32">
      <c r="A275" s="5"/>
      <c r="B275" s="85"/>
      <c r="C275" s="57"/>
      <c r="D275" s="138"/>
      <c r="E275" s="118"/>
      <c r="F275" s="171"/>
    </row>
    <row r="276" spans="1:32" ht="13">
      <c r="A276" s="5"/>
      <c r="B276" s="294" t="s">
        <v>647</v>
      </c>
      <c r="C276" s="57"/>
      <c r="D276" s="138"/>
      <c r="E276" s="118"/>
      <c r="F276" s="171"/>
    </row>
    <row r="277" spans="1:32">
      <c r="A277" s="5"/>
      <c r="B277" s="85"/>
      <c r="C277" s="57"/>
      <c r="D277" s="138"/>
      <c r="E277" s="118"/>
      <c r="F277" s="171"/>
    </row>
    <row r="278" spans="1:32" s="134" customFormat="1">
      <c r="A278" s="295"/>
      <c r="B278" s="190" t="s">
        <v>405</v>
      </c>
      <c r="C278" s="181"/>
      <c r="D278" s="283"/>
      <c r="E278" s="296"/>
      <c r="F278" s="297"/>
      <c r="G278" s="286"/>
      <c r="H278" s="287"/>
      <c r="I278" s="288"/>
      <c r="J278" s="289"/>
      <c r="K278" s="288"/>
      <c r="L278" s="287"/>
      <c r="M278" s="288"/>
      <c r="N278" s="289"/>
      <c r="O278" s="288"/>
      <c r="P278" s="287"/>
      <c r="Q278" s="290">
        <f>O278+M278</f>
        <v>0</v>
      </c>
      <c r="R278" s="289"/>
      <c r="S278" s="288"/>
      <c r="T278" s="289">
        <f>S278*E278</f>
        <v>0</v>
      </c>
      <c r="U278" s="290">
        <f>S278+Q278</f>
        <v>0</v>
      </c>
      <c r="V278" s="289"/>
      <c r="W278" s="288"/>
      <c r="X278" s="289">
        <f>W278*E278</f>
        <v>0</v>
      </c>
      <c r="Y278" s="290">
        <f>W278+U278</f>
        <v>0</v>
      </c>
      <c r="Z278" s="289"/>
      <c r="AA278" s="288"/>
      <c r="AB278" s="289">
        <f>AA278*E278</f>
        <v>0</v>
      </c>
      <c r="AC278" s="290">
        <f>AA278+Y278</f>
        <v>0</v>
      </c>
      <c r="AD278" s="289"/>
      <c r="AE278" s="291"/>
      <c r="AF278" s="289">
        <f>AE278*E278</f>
        <v>0</v>
      </c>
    </row>
    <row r="279" spans="1:32" s="134" customFormat="1">
      <c r="A279" s="282"/>
      <c r="B279" s="188"/>
      <c r="C279" s="181"/>
      <c r="D279" s="283"/>
      <c r="E279" s="284"/>
      <c r="F279" s="292"/>
      <c r="G279" s="286"/>
      <c r="H279" s="287"/>
      <c r="I279" s="288"/>
      <c r="J279" s="289"/>
      <c r="K279" s="288"/>
      <c r="L279" s="287"/>
      <c r="M279" s="288"/>
      <c r="N279" s="289"/>
      <c r="O279" s="288"/>
      <c r="P279" s="287"/>
      <c r="Q279" s="290">
        <f>O279+M279</f>
        <v>0</v>
      </c>
      <c r="R279" s="289"/>
      <c r="S279" s="288"/>
      <c r="T279" s="289">
        <f>S279*E279</f>
        <v>0</v>
      </c>
      <c r="U279" s="290">
        <f>S279+Q279</f>
        <v>0</v>
      </c>
      <c r="V279" s="289"/>
      <c r="W279" s="288"/>
      <c r="X279" s="289">
        <f>W279*E279</f>
        <v>0</v>
      </c>
      <c r="Y279" s="290">
        <f>W279+U279</f>
        <v>0</v>
      </c>
      <c r="Z279" s="289"/>
      <c r="AA279" s="288"/>
      <c r="AB279" s="289">
        <f>AA279*E279</f>
        <v>0</v>
      </c>
      <c r="AC279" s="290">
        <f>AA279+Y279</f>
        <v>0</v>
      </c>
      <c r="AD279" s="289"/>
      <c r="AE279" s="291"/>
      <c r="AF279" s="289">
        <f>AE279*E279</f>
        <v>0</v>
      </c>
    </row>
    <row r="280" spans="1:32" s="134" customFormat="1" ht="25">
      <c r="A280" s="282" t="s">
        <v>406</v>
      </c>
      <c r="B280" s="199" t="s">
        <v>407</v>
      </c>
      <c r="C280" s="186" t="s">
        <v>2</v>
      </c>
      <c r="D280" s="298">
        <f>ROUNDUP(SUM(D43:D65)*0.7*0.4,-1)</f>
        <v>11750</v>
      </c>
      <c r="E280" s="284">
        <v>3000</v>
      </c>
      <c r="F280" s="285">
        <f>D280*E280</f>
        <v>35250000</v>
      </c>
      <c r="G280" s="286">
        <v>0</v>
      </c>
      <c r="H280" s="287">
        <v>2740</v>
      </c>
      <c r="I280" s="288" t="e">
        <f>G280+#REF!</f>
        <v>#REF!</v>
      </c>
      <c r="J280" s="289" t="e">
        <f>H280+#REF!</f>
        <v>#REF!</v>
      </c>
      <c r="K280" s="288">
        <v>760</v>
      </c>
      <c r="L280" s="287">
        <f>K280*E280</f>
        <v>2280000</v>
      </c>
      <c r="M280" s="288" t="e">
        <f>K280+I280</f>
        <v>#REF!</v>
      </c>
      <c r="N280" s="289" t="e">
        <f>L280+J280</f>
        <v>#REF!</v>
      </c>
      <c r="O280" s="288"/>
      <c r="P280" s="287" t="e">
        <f>O280*#REF!</f>
        <v>#REF!</v>
      </c>
      <c r="Q280" s="290" t="e">
        <f>O280+M280</f>
        <v>#REF!</v>
      </c>
      <c r="R280" s="289" t="e">
        <f>P280+N280</f>
        <v>#REF!</v>
      </c>
      <c r="S280" s="288"/>
      <c r="T280" s="289">
        <f>S280*E280</f>
        <v>0</v>
      </c>
      <c r="U280" s="290" t="e">
        <f>S280+Q280</f>
        <v>#REF!</v>
      </c>
      <c r="V280" s="289" t="e">
        <f>T280+R280</f>
        <v>#REF!</v>
      </c>
      <c r="W280" s="288"/>
      <c r="X280" s="289">
        <f>W280*E280</f>
        <v>0</v>
      </c>
      <c r="Y280" s="290" t="e">
        <f>W280+U280</f>
        <v>#REF!</v>
      </c>
      <c r="Z280" s="289" t="e">
        <f>X280+V280</f>
        <v>#REF!</v>
      </c>
      <c r="AA280" s="288"/>
      <c r="AB280" s="289">
        <f>AA280*E280</f>
        <v>0</v>
      </c>
      <c r="AC280" s="290" t="e">
        <f>AA280+Y280</f>
        <v>#REF!</v>
      </c>
      <c r="AD280" s="289" t="e">
        <f>AB280+Z280</f>
        <v>#REF!</v>
      </c>
      <c r="AE280" s="291"/>
      <c r="AF280" s="289">
        <f>AE280*E280</f>
        <v>0</v>
      </c>
    </row>
    <row r="281" spans="1:32" s="134" customFormat="1">
      <c r="A281" s="282"/>
      <c r="B281" s="199"/>
      <c r="C281" s="186"/>
      <c r="D281" s="182"/>
      <c r="E281" s="284"/>
      <c r="F281" s="285"/>
      <c r="G281" s="286"/>
      <c r="H281" s="287"/>
      <c r="I281" s="288"/>
      <c r="J281" s="289"/>
      <c r="K281" s="288"/>
      <c r="L281" s="287"/>
      <c r="M281" s="288"/>
      <c r="N281" s="289"/>
      <c r="O281" s="288"/>
      <c r="P281" s="287"/>
      <c r="Q281" s="290"/>
      <c r="R281" s="289"/>
      <c r="S281" s="288"/>
      <c r="T281" s="289"/>
      <c r="U281" s="290"/>
      <c r="V281" s="289"/>
      <c r="W281" s="288"/>
      <c r="X281" s="289"/>
      <c r="Y281" s="290"/>
      <c r="Z281" s="289"/>
      <c r="AA281" s="288"/>
      <c r="AB281" s="289"/>
      <c r="AC281" s="290"/>
      <c r="AD281" s="289"/>
      <c r="AE281" s="291"/>
      <c r="AF281" s="289"/>
    </row>
    <row r="282" spans="1:32" s="134" customFormat="1" ht="25">
      <c r="A282" s="282" t="s">
        <v>408</v>
      </c>
      <c r="B282" s="199" t="s">
        <v>409</v>
      </c>
      <c r="C282" s="186" t="s">
        <v>2</v>
      </c>
      <c r="D282" s="182">
        <f>1.5*1.8*2*(D228+D230+D232)</f>
        <v>426.6</v>
      </c>
      <c r="E282" s="284">
        <v>3000</v>
      </c>
      <c r="F282" s="285">
        <f>D282*E282</f>
        <v>1279800</v>
      </c>
      <c r="G282" s="286">
        <v>0</v>
      </c>
      <c r="H282" s="287">
        <v>345.6</v>
      </c>
      <c r="I282" s="288" t="e">
        <f>G282+#REF!</f>
        <v>#REF!</v>
      </c>
      <c r="J282" s="289" t="e">
        <f>H282+#REF!</f>
        <v>#REF!</v>
      </c>
      <c r="K282" s="288">
        <v>760</v>
      </c>
      <c r="L282" s="287">
        <f>K282*E282</f>
        <v>2280000</v>
      </c>
      <c r="M282" s="288" t="e">
        <f>K282+I282</f>
        <v>#REF!</v>
      </c>
      <c r="N282" s="289" t="e">
        <f>L282+J282</f>
        <v>#REF!</v>
      </c>
      <c r="O282" s="288"/>
      <c r="P282" s="287" t="e">
        <f>O282*#REF!</f>
        <v>#REF!</v>
      </c>
      <c r="Q282" s="290" t="e">
        <f>O282+M282</f>
        <v>#REF!</v>
      </c>
      <c r="R282" s="289" t="e">
        <f>P282+N282</f>
        <v>#REF!</v>
      </c>
      <c r="S282" s="288"/>
      <c r="T282" s="289">
        <f>S282*E282</f>
        <v>0</v>
      </c>
      <c r="U282" s="290" t="e">
        <f>S282+Q282</f>
        <v>#REF!</v>
      </c>
      <c r="V282" s="289" t="e">
        <f>T282+R282</f>
        <v>#REF!</v>
      </c>
      <c r="W282" s="288"/>
      <c r="X282" s="289">
        <f>W282*E282</f>
        <v>0</v>
      </c>
      <c r="Y282" s="290" t="e">
        <f>W282+U282</f>
        <v>#REF!</v>
      </c>
      <c r="Z282" s="289" t="e">
        <f>X282+V282</f>
        <v>#REF!</v>
      </c>
      <c r="AA282" s="288"/>
      <c r="AB282" s="289">
        <f>AA282*E282</f>
        <v>0</v>
      </c>
      <c r="AC282" s="290" t="e">
        <f>AA282+Y282</f>
        <v>#REF!</v>
      </c>
      <c r="AD282" s="289" t="e">
        <f>AB282+Z282</f>
        <v>#REF!</v>
      </c>
      <c r="AE282" s="291"/>
      <c r="AF282" s="289">
        <f>AE282*E282</f>
        <v>0</v>
      </c>
    </row>
    <row r="283" spans="1:32" s="134" customFormat="1">
      <c r="A283" s="282"/>
      <c r="B283" s="199"/>
      <c r="C283" s="186"/>
      <c r="D283" s="283"/>
      <c r="E283" s="284"/>
      <c r="F283" s="285"/>
      <c r="G283" s="286"/>
      <c r="H283" s="287"/>
      <c r="I283" s="288"/>
      <c r="J283" s="289"/>
      <c r="K283" s="288"/>
      <c r="L283" s="287"/>
      <c r="M283" s="288"/>
      <c r="N283" s="289"/>
      <c r="O283" s="288"/>
      <c r="P283" s="287"/>
      <c r="Q283" s="290"/>
      <c r="R283" s="289"/>
      <c r="S283" s="288"/>
      <c r="T283" s="289"/>
      <c r="U283" s="290"/>
      <c r="V283" s="289"/>
      <c r="W283" s="288"/>
      <c r="X283" s="289"/>
      <c r="Y283" s="290"/>
      <c r="Z283" s="289"/>
      <c r="AA283" s="288"/>
      <c r="AB283" s="289"/>
      <c r="AC283" s="290"/>
      <c r="AD283" s="289"/>
      <c r="AE283" s="291"/>
      <c r="AF283" s="289"/>
    </row>
    <row r="284" spans="1:32" s="134" customFormat="1">
      <c r="A284" s="295"/>
      <c r="B284" s="190" t="s">
        <v>410</v>
      </c>
      <c r="C284" s="181"/>
      <c r="D284" s="283"/>
      <c r="E284" s="296"/>
      <c r="F284" s="297"/>
      <c r="G284" s="286"/>
      <c r="H284" s="287"/>
      <c r="I284" s="288"/>
      <c r="J284" s="289" t="e">
        <f>H284+#REF!</f>
        <v>#REF!</v>
      </c>
      <c r="K284" s="288"/>
      <c r="L284" s="287"/>
      <c r="M284" s="288"/>
      <c r="N284" s="289" t="e">
        <f>L284+J284</f>
        <v>#REF!</v>
      </c>
      <c r="O284" s="288"/>
      <c r="P284" s="287"/>
      <c r="Q284" s="290">
        <f>O284+M284</f>
        <v>0</v>
      </c>
      <c r="R284" s="289" t="e">
        <f>P284+N284</f>
        <v>#REF!</v>
      </c>
      <c r="S284" s="288"/>
      <c r="T284" s="289">
        <f>S284*E284</f>
        <v>0</v>
      </c>
      <c r="U284" s="290">
        <f>S284+Q284</f>
        <v>0</v>
      </c>
      <c r="V284" s="289" t="e">
        <f>T284+R284</f>
        <v>#REF!</v>
      </c>
      <c r="W284" s="288"/>
      <c r="X284" s="289">
        <f>W284*E284</f>
        <v>0</v>
      </c>
      <c r="Y284" s="290">
        <f>W284+U284</f>
        <v>0</v>
      </c>
      <c r="Z284" s="289" t="e">
        <f>X284+V284</f>
        <v>#REF!</v>
      </c>
      <c r="AA284" s="288"/>
      <c r="AB284" s="289">
        <f>AA284*E284</f>
        <v>0</v>
      </c>
      <c r="AC284" s="290">
        <f>AA284+Y284</f>
        <v>0</v>
      </c>
      <c r="AD284" s="289" t="e">
        <f>AB284+Z284</f>
        <v>#REF!</v>
      </c>
      <c r="AE284" s="291"/>
      <c r="AF284" s="289">
        <f>AE284*E284</f>
        <v>0</v>
      </c>
    </row>
    <row r="285" spans="1:32" s="134" customFormat="1">
      <c r="A285" s="295"/>
      <c r="B285" s="190"/>
      <c r="C285" s="181"/>
      <c r="D285" s="283"/>
      <c r="E285" s="296"/>
      <c r="F285" s="297"/>
      <c r="G285" s="286"/>
      <c r="H285" s="287"/>
      <c r="I285" s="288"/>
      <c r="J285" s="289"/>
      <c r="K285" s="288"/>
      <c r="L285" s="287"/>
      <c r="M285" s="288"/>
      <c r="N285" s="289"/>
      <c r="O285" s="288"/>
      <c r="P285" s="287"/>
      <c r="Q285" s="290"/>
      <c r="R285" s="289"/>
      <c r="S285" s="288"/>
      <c r="T285" s="289"/>
      <c r="U285" s="290"/>
      <c r="V285" s="289"/>
      <c r="W285" s="288"/>
      <c r="X285" s="289"/>
      <c r="Y285" s="290"/>
      <c r="Z285" s="289"/>
      <c r="AA285" s="288"/>
      <c r="AB285" s="289"/>
      <c r="AC285" s="290"/>
      <c r="AD285" s="289"/>
      <c r="AE285" s="291"/>
      <c r="AF285" s="289"/>
    </row>
    <row r="286" spans="1:32" s="134" customFormat="1" ht="25">
      <c r="A286" s="282" t="s">
        <v>411</v>
      </c>
      <c r="B286" s="189" t="s">
        <v>648</v>
      </c>
      <c r="C286" s="186" t="s">
        <v>9</v>
      </c>
      <c r="D286" s="283">
        <f>SUM(D43:D65)*0.6</f>
        <v>25176</v>
      </c>
      <c r="E286" s="284">
        <v>1500</v>
      </c>
      <c r="F286" s="285">
        <f>D286*E286</f>
        <v>37764000</v>
      </c>
      <c r="G286" s="286">
        <v>1800</v>
      </c>
      <c r="H286" s="287">
        <v>4566</v>
      </c>
      <c r="I286" s="288" t="e">
        <f>G286+#REF!</f>
        <v>#REF!</v>
      </c>
      <c r="J286" s="289" t="e">
        <f>H286+#REF!</f>
        <v>#REF!</v>
      </c>
      <c r="K286" s="288"/>
      <c r="L286" s="287" t="e">
        <f>K286*#REF!</f>
        <v>#REF!</v>
      </c>
      <c r="M286" s="288" t="e">
        <f>K286+I286</f>
        <v>#REF!</v>
      </c>
      <c r="N286" s="289" t="e">
        <f>L286+J286</f>
        <v>#REF!</v>
      </c>
      <c r="O286" s="288">
        <v>0</v>
      </c>
      <c r="P286" s="287">
        <f>O286*E286</f>
        <v>0</v>
      </c>
      <c r="Q286" s="290" t="e">
        <f>O286+M286</f>
        <v>#REF!</v>
      </c>
      <c r="R286" s="289" t="e">
        <f>P286+N286</f>
        <v>#REF!</v>
      </c>
      <c r="S286" s="288"/>
      <c r="T286" s="289">
        <f>S286*E286</f>
        <v>0</v>
      </c>
      <c r="U286" s="290" t="e">
        <f>S286+Q286</f>
        <v>#REF!</v>
      </c>
      <c r="V286" s="289" t="e">
        <f>T286+R286</f>
        <v>#REF!</v>
      </c>
      <c r="W286" s="288"/>
      <c r="X286" s="289">
        <f>W286*E286</f>
        <v>0</v>
      </c>
      <c r="Y286" s="290" t="e">
        <f>W286+U286</f>
        <v>#REF!</v>
      </c>
      <c r="Z286" s="289" t="e">
        <f>X286+V286</f>
        <v>#REF!</v>
      </c>
      <c r="AA286" s="288"/>
      <c r="AB286" s="289">
        <f>AA286*E286</f>
        <v>0</v>
      </c>
      <c r="AC286" s="290" t="e">
        <f>AA286+Y286</f>
        <v>#REF!</v>
      </c>
      <c r="AD286" s="289" t="e">
        <f>AB286+Z286</f>
        <v>#REF!</v>
      </c>
      <c r="AE286" s="291">
        <v>460</v>
      </c>
      <c r="AF286" s="289">
        <f>AE286*E286</f>
        <v>690000</v>
      </c>
    </row>
    <row r="287" spans="1:32" s="134" customFormat="1">
      <c r="A287" s="282"/>
      <c r="B287" s="189"/>
      <c r="C287" s="186"/>
      <c r="D287" s="283"/>
      <c r="E287" s="284"/>
      <c r="F287" s="285"/>
      <c r="G287" s="364"/>
      <c r="H287" s="364"/>
      <c r="I287" s="364"/>
      <c r="J287" s="365"/>
      <c r="K287" s="364"/>
      <c r="L287" s="364"/>
      <c r="M287" s="364"/>
      <c r="N287" s="365"/>
      <c r="O287" s="364"/>
      <c r="P287" s="364"/>
      <c r="Q287" s="365"/>
      <c r="R287" s="365"/>
      <c r="S287" s="364"/>
      <c r="T287" s="365"/>
      <c r="U287" s="365"/>
      <c r="V287" s="365"/>
      <c r="W287" s="364"/>
      <c r="X287" s="365"/>
      <c r="Y287" s="365"/>
      <c r="Z287" s="365"/>
      <c r="AA287" s="364"/>
      <c r="AB287" s="365"/>
      <c r="AC287" s="365"/>
      <c r="AD287" s="365"/>
      <c r="AE287" s="366"/>
      <c r="AF287" s="365"/>
    </row>
    <row r="288" spans="1:32" s="134" customFormat="1">
      <c r="A288" s="282"/>
      <c r="B288" s="189"/>
      <c r="C288" s="186"/>
      <c r="D288" s="283"/>
      <c r="E288" s="284"/>
      <c r="F288" s="285"/>
      <c r="G288" s="364"/>
      <c r="H288" s="364"/>
      <c r="I288" s="364"/>
      <c r="J288" s="365"/>
      <c r="K288" s="364"/>
      <c r="L288" s="364"/>
      <c r="M288" s="364"/>
      <c r="N288" s="365"/>
      <c r="O288" s="364"/>
      <c r="P288" s="364"/>
      <c r="Q288" s="365"/>
      <c r="R288" s="365"/>
      <c r="S288" s="364"/>
      <c r="T288" s="365"/>
      <c r="U288" s="365"/>
      <c r="V288" s="365"/>
      <c r="W288" s="364"/>
      <c r="X288" s="365"/>
      <c r="Y288" s="365"/>
      <c r="Z288" s="365"/>
      <c r="AA288" s="364"/>
      <c r="AB288" s="365"/>
      <c r="AC288" s="365"/>
      <c r="AD288" s="365"/>
      <c r="AE288" s="366"/>
      <c r="AF288" s="365"/>
    </row>
    <row r="289" spans="1:32" s="134" customFormat="1">
      <c r="A289" s="282"/>
      <c r="B289" s="189"/>
      <c r="C289" s="186"/>
      <c r="D289" s="283"/>
      <c r="E289" s="284"/>
      <c r="F289" s="285"/>
      <c r="G289" s="364"/>
      <c r="H289" s="364"/>
      <c r="I289" s="364"/>
      <c r="J289" s="365"/>
      <c r="K289" s="364"/>
      <c r="L289" s="364"/>
      <c r="M289" s="364"/>
      <c r="N289" s="365"/>
      <c r="O289" s="364"/>
      <c r="P289" s="364"/>
      <c r="Q289" s="365"/>
      <c r="R289" s="365"/>
      <c r="S289" s="364"/>
      <c r="T289" s="365"/>
      <c r="U289" s="365"/>
      <c r="V289" s="365"/>
      <c r="W289" s="364"/>
      <c r="X289" s="365"/>
      <c r="Y289" s="365"/>
      <c r="Z289" s="365"/>
      <c r="AA289" s="364"/>
      <c r="AB289" s="365"/>
      <c r="AC289" s="365"/>
      <c r="AD289" s="365"/>
      <c r="AE289" s="366"/>
      <c r="AF289" s="365"/>
    </row>
    <row r="290" spans="1:32" ht="12.75" customHeight="1" thickBot="1">
      <c r="A290" s="259"/>
      <c r="B290" s="261"/>
      <c r="C290" s="261"/>
      <c r="D290" s="261"/>
      <c r="E290" s="261"/>
      <c r="F290" s="262"/>
    </row>
    <row r="291" spans="1:32" s="3" customFormat="1" ht="13" thickTop="1">
      <c r="A291" s="15"/>
      <c r="B291" s="10"/>
      <c r="C291" s="104"/>
      <c r="D291" s="119"/>
      <c r="E291" s="105"/>
      <c r="F291" s="80"/>
    </row>
    <row r="292" spans="1:32" s="3" customFormat="1" ht="13">
      <c r="A292" s="106"/>
      <c r="B292" s="107" t="s">
        <v>301</v>
      </c>
      <c r="C292" s="108"/>
      <c r="D292" s="120"/>
      <c r="E292" s="109"/>
      <c r="F292" s="75">
        <f>SUM(F240:F290)</f>
        <v>77555457.142857134</v>
      </c>
    </row>
    <row r="293" spans="1:32" s="3" customFormat="1" ht="13" thickBot="1">
      <c r="A293" s="12"/>
      <c r="B293" s="110"/>
      <c r="C293" s="111"/>
      <c r="D293" s="122"/>
      <c r="E293" s="112"/>
      <c r="F293" s="82"/>
    </row>
    <row r="294" spans="1:32" ht="13.5" thickTop="1">
      <c r="A294" s="267"/>
      <c r="B294" s="1544"/>
      <c r="C294" s="1544"/>
      <c r="D294" s="1544"/>
      <c r="E294" s="1544"/>
      <c r="F294" s="136"/>
    </row>
    <row r="295" spans="1:32" ht="12.75" customHeight="1">
      <c r="A295" s="1546" t="str">
        <f>A238</f>
        <v>BILL 8 - DISTRIBUTION NETWORK</v>
      </c>
      <c r="B295" s="1542"/>
      <c r="C295" s="1542"/>
      <c r="D295" s="1542"/>
      <c r="E295" s="1542"/>
      <c r="F295" s="1547"/>
    </row>
    <row r="296" spans="1:32" ht="13" thickBot="1">
      <c r="A296" s="91"/>
      <c r="B296" s="17"/>
      <c r="C296" s="123"/>
      <c r="D296" s="127"/>
      <c r="E296" s="128"/>
      <c r="F296" s="135"/>
    </row>
    <row r="297" spans="1:32" ht="27" thickTop="1" thickBot="1">
      <c r="A297" s="13" t="s">
        <v>4</v>
      </c>
      <c r="B297" s="129" t="s">
        <v>5</v>
      </c>
      <c r="C297" s="129" t="s">
        <v>6</v>
      </c>
      <c r="D297" s="130" t="s">
        <v>1</v>
      </c>
      <c r="E297" s="131" t="s">
        <v>7</v>
      </c>
      <c r="F297" s="76" t="s">
        <v>8</v>
      </c>
      <c r="H297" s="17" t="s">
        <v>1</v>
      </c>
    </row>
    <row r="298" spans="1:32" ht="13" thickTop="1">
      <c r="A298" s="259"/>
      <c r="B298" s="261"/>
      <c r="C298" s="261"/>
      <c r="D298" s="280"/>
      <c r="E298" s="261"/>
      <c r="F298" s="262"/>
    </row>
    <row r="299" spans="1:32" s="134" customFormat="1">
      <c r="A299" s="282"/>
      <c r="B299" s="189"/>
      <c r="C299" s="181"/>
      <c r="D299" s="283"/>
      <c r="E299" s="296"/>
      <c r="F299" s="297"/>
      <c r="G299" s="286"/>
      <c r="H299" s="287"/>
      <c r="I299" s="288"/>
      <c r="J299" s="289" t="e">
        <f>H299+#REF!</f>
        <v>#REF!</v>
      </c>
      <c r="K299" s="288"/>
      <c r="L299" s="287"/>
      <c r="M299" s="288"/>
      <c r="N299" s="289" t="e">
        <f>L299+J299</f>
        <v>#REF!</v>
      </c>
      <c r="O299" s="288"/>
      <c r="P299" s="287"/>
      <c r="Q299" s="290">
        <f t="shared" ref="Q299:R302" si="4">O299+M299</f>
        <v>0</v>
      </c>
      <c r="R299" s="289" t="e">
        <f t="shared" si="4"/>
        <v>#REF!</v>
      </c>
      <c r="S299" s="288"/>
      <c r="T299" s="289">
        <f>S299*E299</f>
        <v>0</v>
      </c>
      <c r="U299" s="290">
        <f t="shared" ref="U299:V302" si="5">S299+Q299</f>
        <v>0</v>
      </c>
      <c r="V299" s="289" t="e">
        <f t="shared" si="5"/>
        <v>#REF!</v>
      </c>
      <c r="W299" s="288"/>
      <c r="X299" s="289">
        <f>W299*E299</f>
        <v>0</v>
      </c>
      <c r="Y299" s="290">
        <f t="shared" ref="Y299:Z302" si="6">W299+U299</f>
        <v>0</v>
      </c>
      <c r="Z299" s="289" t="e">
        <f t="shared" si="6"/>
        <v>#REF!</v>
      </c>
      <c r="AA299" s="288"/>
      <c r="AB299" s="289">
        <f>AA299*E299</f>
        <v>0</v>
      </c>
      <c r="AC299" s="290">
        <f t="shared" ref="AC299:AD302" si="7">AA299+Y299</f>
        <v>0</v>
      </c>
      <c r="AD299" s="289" t="e">
        <f t="shared" si="7"/>
        <v>#REF!</v>
      </c>
      <c r="AE299" s="291"/>
      <c r="AF299" s="289">
        <f>AE299*E299</f>
        <v>0</v>
      </c>
    </row>
    <row r="300" spans="1:32" s="134" customFormat="1" ht="25">
      <c r="A300" s="282" t="s">
        <v>413</v>
      </c>
      <c r="B300" s="189" t="s">
        <v>649</v>
      </c>
      <c r="C300" s="186" t="s">
        <v>9</v>
      </c>
      <c r="D300" s="283">
        <f>SUM(D43:D65)*0.4</f>
        <v>16784</v>
      </c>
      <c r="E300" s="284">
        <v>1500</v>
      </c>
      <c r="F300" s="285">
        <f>D300*E300</f>
        <v>25176000</v>
      </c>
      <c r="G300" s="286">
        <v>2080</v>
      </c>
      <c r="H300" s="287">
        <v>3044</v>
      </c>
      <c r="I300" s="288" t="e">
        <f>G300+#REF!</f>
        <v>#REF!</v>
      </c>
      <c r="J300" s="289" t="e">
        <f>H300+#REF!</f>
        <v>#REF!</v>
      </c>
      <c r="K300" s="288">
        <v>1680</v>
      </c>
      <c r="L300" s="287">
        <f>K300*E300</f>
        <v>2520000</v>
      </c>
      <c r="M300" s="288" t="e">
        <f>K300+I300</f>
        <v>#REF!</v>
      </c>
      <c r="N300" s="289" t="e">
        <f>L300+J300</f>
        <v>#REF!</v>
      </c>
      <c r="O300" s="288">
        <v>2000</v>
      </c>
      <c r="P300" s="287">
        <f>O300*E300</f>
        <v>3000000</v>
      </c>
      <c r="Q300" s="290" t="e">
        <f t="shared" si="4"/>
        <v>#REF!</v>
      </c>
      <c r="R300" s="289" t="e">
        <f t="shared" si="4"/>
        <v>#REF!</v>
      </c>
      <c r="S300" s="288">
        <v>2500</v>
      </c>
      <c r="T300" s="289">
        <f>S300*E300</f>
        <v>3750000</v>
      </c>
      <c r="U300" s="290" t="e">
        <f t="shared" si="5"/>
        <v>#REF!</v>
      </c>
      <c r="V300" s="289" t="e">
        <f t="shared" si="5"/>
        <v>#REF!</v>
      </c>
      <c r="W300" s="288" t="e">
        <f>#REF!</f>
        <v>#REF!</v>
      </c>
      <c r="X300" s="289" t="e">
        <f>W300*E300</f>
        <v>#REF!</v>
      </c>
      <c r="Y300" s="290" t="e">
        <f t="shared" si="6"/>
        <v>#REF!</v>
      </c>
      <c r="Z300" s="289" t="e">
        <f t="shared" si="6"/>
        <v>#REF!</v>
      </c>
      <c r="AA300" s="288" t="e">
        <f>#REF!</f>
        <v>#REF!</v>
      </c>
      <c r="AB300" s="289" t="e">
        <f>AA300*E300</f>
        <v>#REF!</v>
      </c>
      <c r="AC300" s="290" t="e">
        <f t="shared" si="7"/>
        <v>#REF!</v>
      </c>
      <c r="AD300" s="289" t="e">
        <f t="shared" si="7"/>
        <v>#REF!</v>
      </c>
      <c r="AE300" s="291"/>
      <c r="AF300" s="289">
        <f>AE300*E300</f>
        <v>0</v>
      </c>
    </row>
    <row r="301" spans="1:32" s="134" customFormat="1">
      <c r="A301" s="282"/>
      <c r="B301" s="188"/>
      <c r="C301" s="181"/>
      <c r="D301" s="283"/>
      <c r="E301" s="296"/>
      <c r="F301" s="297"/>
      <c r="G301" s="286"/>
      <c r="H301" s="287"/>
      <c r="I301" s="288"/>
      <c r="J301" s="289" t="e">
        <f>H301+#REF!</f>
        <v>#REF!</v>
      </c>
      <c r="K301" s="288"/>
      <c r="L301" s="287"/>
      <c r="M301" s="288"/>
      <c r="N301" s="289" t="e">
        <f>L301+J301</f>
        <v>#REF!</v>
      </c>
      <c r="O301" s="288"/>
      <c r="P301" s="287"/>
      <c r="Q301" s="290">
        <f t="shared" si="4"/>
        <v>0</v>
      </c>
      <c r="R301" s="289" t="e">
        <f t="shared" si="4"/>
        <v>#REF!</v>
      </c>
      <c r="S301" s="288"/>
      <c r="T301" s="289">
        <f>S301*E301</f>
        <v>0</v>
      </c>
      <c r="U301" s="290">
        <f t="shared" si="5"/>
        <v>0</v>
      </c>
      <c r="V301" s="289" t="e">
        <f t="shared" si="5"/>
        <v>#REF!</v>
      </c>
      <c r="W301" s="288"/>
      <c r="X301" s="289">
        <f>W301*E301</f>
        <v>0</v>
      </c>
      <c r="Y301" s="290">
        <f t="shared" si="6"/>
        <v>0</v>
      </c>
      <c r="Z301" s="289" t="e">
        <f t="shared" si="6"/>
        <v>#REF!</v>
      </c>
      <c r="AA301" s="288"/>
      <c r="AB301" s="289">
        <f>AA301*E301</f>
        <v>0</v>
      </c>
      <c r="AC301" s="290">
        <f t="shared" si="7"/>
        <v>0</v>
      </c>
      <c r="AD301" s="289" t="e">
        <f t="shared" si="7"/>
        <v>#REF!</v>
      </c>
      <c r="AE301" s="291"/>
      <c r="AF301" s="289">
        <f>AE301*E301</f>
        <v>0</v>
      </c>
    </row>
    <row r="302" spans="1:32" s="134" customFormat="1" ht="25">
      <c r="A302" s="282" t="s">
        <v>415</v>
      </c>
      <c r="B302" s="189" t="s">
        <v>650</v>
      </c>
      <c r="C302" s="186" t="s">
        <v>9</v>
      </c>
      <c r="D302" s="283">
        <f>(D254*20)+D250+D248</f>
        <v>350</v>
      </c>
      <c r="E302" s="284">
        <v>9750</v>
      </c>
      <c r="F302" s="285">
        <f>D302*E302</f>
        <v>3412500</v>
      </c>
      <c r="G302" s="286"/>
      <c r="H302" s="287">
        <v>350</v>
      </c>
      <c r="I302" s="288"/>
      <c r="J302" s="289" t="e">
        <f>H302+#REF!</f>
        <v>#REF!</v>
      </c>
      <c r="K302" s="288"/>
      <c r="L302" s="287"/>
      <c r="M302" s="288"/>
      <c r="N302" s="289" t="e">
        <f>L302+J302</f>
        <v>#REF!</v>
      </c>
      <c r="O302" s="288"/>
      <c r="P302" s="287"/>
      <c r="Q302" s="290">
        <f t="shared" si="4"/>
        <v>0</v>
      </c>
      <c r="R302" s="289" t="e">
        <f t="shared" si="4"/>
        <v>#REF!</v>
      </c>
      <c r="S302" s="288"/>
      <c r="T302" s="289">
        <f>S302*E302</f>
        <v>0</v>
      </c>
      <c r="U302" s="290">
        <f t="shared" si="5"/>
        <v>0</v>
      </c>
      <c r="V302" s="289" t="e">
        <f t="shared" si="5"/>
        <v>#REF!</v>
      </c>
      <c r="W302" s="288" t="e">
        <f>#REF!</f>
        <v>#REF!</v>
      </c>
      <c r="X302" s="289" t="e">
        <f>W302*E302</f>
        <v>#REF!</v>
      </c>
      <c r="Y302" s="290" t="e">
        <f t="shared" si="6"/>
        <v>#REF!</v>
      </c>
      <c r="Z302" s="289" t="e">
        <f t="shared" si="6"/>
        <v>#REF!</v>
      </c>
      <c r="AA302" s="288" t="e">
        <f>#REF!</f>
        <v>#REF!</v>
      </c>
      <c r="AB302" s="289" t="e">
        <f>AA302*E302</f>
        <v>#REF!</v>
      </c>
      <c r="AC302" s="290" t="e">
        <f t="shared" si="7"/>
        <v>#REF!</v>
      </c>
      <c r="AD302" s="289" t="e">
        <f t="shared" si="7"/>
        <v>#REF!</v>
      </c>
      <c r="AE302" s="291"/>
      <c r="AF302" s="289">
        <f>AE302*E302</f>
        <v>0</v>
      </c>
    </row>
    <row r="303" spans="1:32" ht="13">
      <c r="A303" s="259"/>
      <c r="B303" s="279" t="s">
        <v>651</v>
      </c>
      <c r="C303" s="261"/>
      <c r="D303" s="261"/>
      <c r="E303" s="261"/>
      <c r="F303" s="262"/>
    </row>
    <row r="304" spans="1:32">
      <c r="A304" s="259"/>
      <c r="B304" s="261"/>
      <c r="C304" s="261"/>
      <c r="D304" s="261"/>
      <c r="E304" s="261"/>
      <c r="F304" s="262"/>
    </row>
    <row r="305" spans="1:8" ht="37.5">
      <c r="A305" s="5" t="s">
        <v>419</v>
      </c>
      <c r="B305" s="261" t="s">
        <v>652</v>
      </c>
      <c r="C305" s="186" t="s">
        <v>2</v>
      </c>
      <c r="D305" s="273">
        <f>SUM(D192:D202)</f>
        <v>19</v>
      </c>
      <c r="E305" s="261">
        <v>15000</v>
      </c>
      <c r="F305" s="262">
        <f>PRODUCT(D305:E305)</f>
        <v>285000</v>
      </c>
      <c r="H305" s="17">
        <v>18</v>
      </c>
    </row>
    <row r="306" spans="1:8">
      <c r="A306" s="5"/>
      <c r="B306" s="85"/>
      <c r="C306" s="57"/>
      <c r="D306" s="138"/>
      <c r="E306" s="118"/>
      <c r="F306" s="81"/>
    </row>
    <row r="307" spans="1:8">
      <c r="A307" s="5"/>
      <c r="B307" s="85"/>
      <c r="C307" s="57"/>
      <c r="D307" s="138"/>
      <c r="E307" s="118"/>
      <c r="F307" s="81"/>
    </row>
    <row r="308" spans="1:8">
      <c r="A308" s="5"/>
      <c r="B308" s="85"/>
      <c r="C308" s="57"/>
      <c r="D308" s="138"/>
      <c r="E308" s="118"/>
      <c r="F308" s="81"/>
    </row>
    <row r="309" spans="1:8">
      <c r="A309" s="5"/>
      <c r="B309" s="85"/>
      <c r="C309" s="57"/>
      <c r="D309" s="138"/>
      <c r="E309" s="118"/>
      <c r="F309" s="81"/>
    </row>
    <row r="310" spans="1:8">
      <c r="A310" s="5"/>
      <c r="B310" s="85"/>
      <c r="C310" s="57"/>
      <c r="D310" s="138"/>
      <c r="E310" s="118"/>
      <c r="F310" s="81"/>
    </row>
    <row r="311" spans="1:8">
      <c r="A311" s="5"/>
      <c r="B311" s="85"/>
      <c r="C311" s="57"/>
      <c r="D311" s="138"/>
      <c r="E311" s="118"/>
      <c r="F311" s="81"/>
    </row>
    <row r="312" spans="1:8">
      <c r="A312" s="5"/>
      <c r="B312" s="85"/>
      <c r="C312" s="57"/>
      <c r="D312" s="138"/>
      <c r="E312" s="118"/>
      <c r="F312" s="81"/>
    </row>
    <row r="313" spans="1:8">
      <c r="A313" s="5"/>
      <c r="B313" s="85"/>
      <c r="C313" s="57"/>
      <c r="D313" s="138"/>
      <c r="E313" s="118"/>
      <c r="F313" s="81"/>
    </row>
    <row r="314" spans="1:8">
      <c r="A314" s="5"/>
      <c r="B314" s="85"/>
      <c r="C314" s="57"/>
      <c r="D314" s="138"/>
      <c r="E314" s="118"/>
      <c r="F314" s="81"/>
    </row>
    <row r="315" spans="1:8">
      <c r="A315" s="5"/>
      <c r="B315" s="85"/>
      <c r="C315" s="57"/>
      <c r="D315" s="138"/>
      <c r="E315" s="118"/>
      <c r="F315" s="81"/>
    </row>
    <row r="316" spans="1:8">
      <c r="A316" s="5"/>
      <c r="B316" s="85"/>
      <c r="C316" s="57"/>
      <c r="D316" s="138"/>
      <c r="E316" s="118"/>
      <c r="F316" s="81"/>
    </row>
    <row r="317" spans="1:8">
      <c r="A317" s="5"/>
      <c r="B317" s="85"/>
      <c r="C317" s="57"/>
      <c r="D317" s="138"/>
      <c r="E317" s="118"/>
      <c r="F317" s="81"/>
    </row>
    <row r="318" spans="1:8">
      <c r="A318" s="5"/>
      <c r="B318" s="85"/>
      <c r="C318" s="57"/>
      <c r="D318" s="138"/>
      <c r="E318" s="118"/>
      <c r="F318" s="81"/>
    </row>
    <row r="319" spans="1:8">
      <c r="A319" s="5"/>
      <c r="B319" s="85"/>
      <c r="C319" s="57"/>
      <c r="D319" s="138"/>
      <c r="E319" s="118"/>
      <c r="F319" s="81"/>
    </row>
    <row r="320" spans="1:8">
      <c r="A320" s="5"/>
      <c r="B320" s="85"/>
      <c r="C320" s="57"/>
      <c r="D320" s="138"/>
      <c r="E320" s="118"/>
      <c r="F320" s="81"/>
    </row>
    <row r="321" spans="1:6">
      <c r="A321" s="5"/>
      <c r="B321" s="85"/>
      <c r="C321" s="57"/>
      <c r="D321" s="138"/>
      <c r="E321" s="118"/>
      <c r="F321" s="81"/>
    </row>
    <row r="322" spans="1:6">
      <c r="A322" s="5"/>
      <c r="B322" s="85"/>
      <c r="C322" s="57"/>
      <c r="D322" s="138"/>
      <c r="E322" s="118"/>
      <c r="F322" s="81"/>
    </row>
    <row r="323" spans="1:6">
      <c r="A323" s="5"/>
      <c r="B323" s="85"/>
      <c r="C323" s="57"/>
      <c r="D323" s="138"/>
      <c r="E323" s="118"/>
      <c r="F323" s="81"/>
    </row>
    <row r="324" spans="1:6">
      <c r="A324" s="5"/>
      <c r="B324" s="85"/>
      <c r="C324" s="57"/>
      <c r="D324" s="138"/>
      <c r="E324" s="118"/>
      <c r="F324" s="81"/>
    </row>
    <row r="325" spans="1:6">
      <c r="A325" s="5"/>
      <c r="B325" s="85"/>
      <c r="C325" s="57"/>
      <c r="D325" s="138"/>
      <c r="E325" s="118"/>
      <c r="F325" s="81"/>
    </row>
    <row r="326" spans="1:6">
      <c r="A326" s="5"/>
      <c r="B326" s="85"/>
      <c r="C326" s="57"/>
      <c r="D326" s="138"/>
      <c r="E326" s="118"/>
      <c r="F326" s="81"/>
    </row>
    <row r="327" spans="1:6">
      <c r="A327" s="5"/>
      <c r="B327" s="85"/>
      <c r="C327" s="57"/>
      <c r="D327" s="138"/>
      <c r="E327" s="118"/>
      <c r="F327" s="81"/>
    </row>
    <row r="328" spans="1:6">
      <c r="A328" s="5"/>
      <c r="B328" s="85"/>
      <c r="C328" s="57"/>
      <c r="D328" s="138"/>
      <c r="E328" s="118"/>
      <c r="F328" s="81"/>
    </row>
    <row r="329" spans="1:6">
      <c r="A329" s="5"/>
      <c r="B329" s="85"/>
      <c r="C329" s="57"/>
      <c r="D329" s="138"/>
      <c r="E329" s="118"/>
      <c r="F329" s="81"/>
    </row>
    <row r="330" spans="1:6">
      <c r="A330" s="5"/>
      <c r="B330" s="85"/>
      <c r="C330" s="57"/>
      <c r="D330" s="138"/>
      <c r="E330" s="118"/>
      <c r="F330" s="81"/>
    </row>
    <row r="331" spans="1:6">
      <c r="A331" s="5"/>
      <c r="B331" s="85"/>
      <c r="C331" s="57"/>
      <c r="D331" s="138"/>
      <c r="E331" s="118"/>
      <c r="F331" s="81"/>
    </row>
    <row r="332" spans="1:6">
      <c r="A332" s="5"/>
      <c r="B332" s="85"/>
      <c r="C332" s="57"/>
      <c r="D332" s="138"/>
      <c r="E332" s="118"/>
      <c r="F332" s="81"/>
    </row>
    <row r="333" spans="1:6">
      <c r="A333" s="5"/>
      <c r="B333" s="85"/>
      <c r="C333" s="57"/>
      <c r="D333" s="138"/>
      <c r="E333" s="118"/>
      <c r="F333" s="81"/>
    </row>
    <row r="334" spans="1:6">
      <c r="A334" s="5"/>
      <c r="B334" s="85"/>
      <c r="C334" s="57"/>
      <c r="D334" s="138"/>
      <c r="E334" s="118"/>
      <c r="F334" s="81"/>
    </row>
    <row r="335" spans="1:6">
      <c r="A335" s="5"/>
      <c r="B335" s="85"/>
      <c r="C335" s="57"/>
      <c r="D335" s="138"/>
      <c r="E335" s="118"/>
      <c r="F335" s="81"/>
    </row>
    <row r="336" spans="1:6">
      <c r="A336" s="5"/>
      <c r="B336" s="85"/>
      <c r="C336" s="57"/>
      <c r="D336" s="138"/>
      <c r="E336" s="118"/>
      <c r="F336" s="81"/>
    </row>
    <row r="337" spans="1:6">
      <c r="A337" s="5"/>
      <c r="B337" s="85"/>
      <c r="C337" s="57"/>
      <c r="D337" s="138"/>
      <c r="E337" s="118"/>
      <c r="F337" s="81"/>
    </row>
    <row r="338" spans="1:6">
      <c r="A338" s="5"/>
      <c r="B338" s="85"/>
      <c r="C338" s="57"/>
      <c r="D338" s="138"/>
      <c r="E338" s="118"/>
      <c r="F338" s="81"/>
    </row>
    <row r="339" spans="1:6" ht="13">
      <c r="A339" s="5"/>
      <c r="B339" s="88"/>
      <c r="C339" s="57"/>
      <c r="D339" s="138"/>
      <c r="E339" s="118"/>
      <c r="F339" s="81"/>
    </row>
    <row r="340" spans="1:6">
      <c r="A340" s="259"/>
      <c r="B340" s="261"/>
      <c r="C340" s="261"/>
      <c r="D340" s="261"/>
      <c r="E340" s="261"/>
      <c r="F340" s="262"/>
    </row>
    <row r="341" spans="1:6" s="3" customFormat="1">
      <c r="A341" s="259"/>
      <c r="B341" s="261"/>
      <c r="C341" s="261"/>
      <c r="D341" s="261"/>
      <c r="E341" s="261"/>
      <c r="F341" s="262"/>
    </row>
    <row r="342" spans="1:6">
      <c r="A342" s="259"/>
      <c r="B342" s="261"/>
      <c r="C342" s="261"/>
      <c r="D342" s="261"/>
      <c r="E342" s="261"/>
      <c r="F342" s="262"/>
    </row>
    <row r="343" spans="1:6">
      <c r="A343" s="259"/>
      <c r="B343" s="261"/>
      <c r="C343" s="261"/>
      <c r="D343" s="261"/>
      <c r="E343" s="261"/>
      <c r="F343" s="262"/>
    </row>
    <row r="344" spans="1:6">
      <c r="A344" s="259"/>
      <c r="B344" s="261"/>
      <c r="C344" s="261"/>
      <c r="D344" s="261"/>
      <c r="E344" s="261"/>
      <c r="F344" s="262"/>
    </row>
    <row r="345" spans="1:6">
      <c r="A345" s="259"/>
      <c r="B345" s="261"/>
      <c r="C345" s="261"/>
      <c r="D345" s="261"/>
      <c r="E345" s="261"/>
      <c r="F345" s="262"/>
    </row>
    <row r="346" spans="1:6">
      <c r="A346" s="259"/>
      <c r="B346" s="261"/>
      <c r="C346" s="261"/>
      <c r="D346" s="261"/>
      <c r="E346" s="261"/>
      <c r="F346" s="262"/>
    </row>
    <row r="347" spans="1:6">
      <c r="A347" s="259"/>
      <c r="B347" s="261"/>
      <c r="C347" s="261"/>
      <c r="D347" s="261"/>
      <c r="E347" s="261"/>
      <c r="F347" s="262"/>
    </row>
    <row r="348" spans="1:6">
      <c r="A348" s="259"/>
      <c r="B348" s="261"/>
      <c r="C348" s="261"/>
      <c r="D348" s="261"/>
      <c r="E348" s="261"/>
      <c r="F348" s="262"/>
    </row>
    <row r="349" spans="1:6" ht="13" thickBot="1">
      <c r="A349" s="259"/>
      <c r="B349" s="261" t="s">
        <v>34</v>
      </c>
      <c r="C349" s="261"/>
      <c r="D349" s="261"/>
      <c r="E349" s="261"/>
      <c r="F349" s="262"/>
    </row>
    <row r="350" spans="1:6" s="3" customFormat="1" ht="13" thickTop="1">
      <c r="A350" s="15"/>
      <c r="B350" s="10"/>
      <c r="C350" s="104"/>
      <c r="D350" s="119"/>
      <c r="E350" s="105"/>
      <c r="F350" s="80"/>
    </row>
    <row r="351" spans="1:6" s="3" customFormat="1" ht="13">
      <c r="A351" s="106"/>
      <c r="B351" s="107" t="s">
        <v>301</v>
      </c>
      <c r="C351" s="108"/>
      <c r="D351" s="120"/>
      <c r="E351" s="109"/>
      <c r="F351" s="75">
        <f>SUM(F299:F341)</f>
        <v>28873500</v>
      </c>
    </row>
    <row r="352" spans="1:6" s="3" customFormat="1" ht="13" thickBot="1">
      <c r="A352" s="12"/>
      <c r="B352" s="110"/>
      <c r="C352" s="111"/>
      <c r="D352" s="122"/>
      <c r="E352" s="112"/>
      <c r="F352" s="82"/>
    </row>
    <row r="353" spans="1:8" ht="13.5" thickTop="1">
      <c r="A353" s="267"/>
      <c r="B353" s="1544"/>
      <c r="C353" s="1544"/>
      <c r="D353" s="1544"/>
      <c r="E353" s="1544"/>
      <c r="F353" s="136"/>
    </row>
    <row r="354" spans="1:8" ht="12.75" customHeight="1">
      <c r="A354" s="1546" t="str">
        <f>A238</f>
        <v>BILL 8 - DISTRIBUTION NETWORK</v>
      </c>
      <c r="B354" s="1542"/>
      <c r="C354" s="1542"/>
      <c r="D354" s="1542"/>
      <c r="E354" s="1542"/>
      <c r="F354" s="1547"/>
    </row>
    <row r="355" spans="1:8" ht="13" thickBot="1">
      <c r="A355" s="91"/>
      <c r="B355" s="17"/>
      <c r="C355" s="123"/>
      <c r="D355" s="127"/>
      <c r="E355" s="128"/>
      <c r="F355" s="135"/>
    </row>
    <row r="356" spans="1:8" ht="27" thickTop="1" thickBot="1">
      <c r="A356" s="13" t="s">
        <v>4</v>
      </c>
      <c r="B356" s="129" t="s">
        <v>5</v>
      </c>
      <c r="C356" s="129" t="s">
        <v>6</v>
      </c>
      <c r="D356" s="130" t="s">
        <v>1</v>
      </c>
      <c r="E356" s="131" t="s">
        <v>7</v>
      </c>
      <c r="F356" s="76" t="s">
        <v>8</v>
      </c>
      <c r="H356" s="17" t="s">
        <v>1</v>
      </c>
    </row>
    <row r="357" spans="1:8" ht="13" thickTop="1">
      <c r="A357" s="259"/>
      <c r="B357" s="261"/>
      <c r="C357" s="261"/>
      <c r="D357" s="261"/>
      <c r="E357" s="261"/>
      <c r="F357" s="262"/>
    </row>
    <row r="358" spans="1:8">
      <c r="A358" s="259"/>
      <c r="B358" s="261"/>
      <c r="C358" s="261"/>
      <c r="D358" s="261"/>
      <c r="E358" s="261"/>
      <c r="F358" s="262"/>
    </row>
    <row r="359" spans="1:8" ht="13">
      <c r="A359" s="259"/>
      <c r="B359" s="279" t="s">
        <v>653</v>
      </c>
      <c r="C359" s="261"/>
      <c r="D359" s="261"/>
      <c r="E359" s="261"/>
      <c r="F359" s="262"/>
    </row>
    <row r="360" spans="1:8">
      <c r="A360" s="259"/>
      <c r="B360" s="261"/>
      <c r="C360" s="261"/>
      <c r="D360" s="261"/>
      <c r="E360" s="261"/>
      <c r="F360" s="262"/>
    </row>
    <row r="361" spans="1:8">
      <c r="A361" s="259"/>
      <c r="B361" s="261" t="s">
        <v>654</v>
      </c>
      <c r="C361" s="261"/>
      <c r="D361" s="261"/>
      <c r="E361" s="261"/>
      <c r="F361" s="262">
        <f>F48</f>
        <v>77721920</v>
      </c>
    </row>
    <row r="362" spans="1:8">
      <c r="A362" s="259"/>
      <c r="B362" s="261"/>
      <c r="C362" s="261"/>
      <c r="D362" s="261"/>
      <c r="E362" s="261"/>
      <c r="F362" s="262"/>
    </row>
    <row r="363" spans="1:8">
      <c r="A363" s="259"/>
      <c r="B363" s="261" t="s">
        <v>655</v>
      </c>
      <c r="C363" s="261"/>
      <c r="D363" s="261"/>
      <c r="E363" s="261"/>
      <c r="F363" s="262">
        <f>F117</f>
        <v>91843770</v>
      </c>
    </row>
    <row r="364" spans="1:8">
      <c r="A364" s="259"/>
      <c r="B364" s="261"/>
      <c r="C364" s="261"/>
      <c r="D364" s="261"/>
      <c r="E364" s="261"/>
      <c r="F364" s="262"/>
    </row>
    <row r="365" spans="1:8">
      <c r="A365" s="259"/>
      <c r="B365" s="261" t="s">
        <v>656</v>
      </c>
      <c r="C365" s="261"/>
      <c r="D365" s="261"/>
      <c r="E365" s="261"/>
      <c r="F365" s="262">
        <f>F181</f>
        <v>4031070</v>
      </c>
    </row>
    <row r="366" spans="1:8">
      <c r="A366" s="259"/>
      <c r="B366" s="261"/>
      <c r="C366" s="261"/>
      <c r="D366" s="261"/>
      <c r="E366" s="261"/>
      <c r="F366" s="262"/>
    </row>
    <row r="367" spans="1:8">
      <c r="A367" s="259"/>
      <c r="B367" s="261" t="s">
        <v>657</v>
      </c>
      <c r="C367" s="261"/>
      <c r="D367" s="261"/>
      <c r="E367" s="261"/>
      <c r="F367" s="262">
        <f>F235</f>
        <v>3479680</v>
      </c>
    </row>
    <row r="368" spans="1:8">
      <c r="A368" s="259"/>
      <c r="B368" s="261"/>
      <c r="C368" s="261"/>
      <c r="D368" s="261"/>
      <c r="E368" s="261"/>
      <c r="F368" s="262"/>
    </row>
    <row r="369" spans="1:6">
      <c r="A369" s="259"/>
      <c r="B369" s="261" t="s">
        <v>658</v>
      </c>
      <c r="C369" s="261"/>
      <c r="D369" s="261"/>
      <c r="E369" s="261"/>
      <c r="F369" s="262">
        <f>F351</f>
        <v>28873500</v>
      </c>
    </row>
    <row r="370" spans="1:6">
      <c r="A370" s="259"/>
      <c r="B370" s="261"/>
      <c r="C370" s="261"/>
      <c r="D370" s="261"/>
      <c r="E370" s="261"/>
      <c r="F370" s="262"/>
    </row>
    <row r="371" spans="1:6">
      <c r="A371" s="259"/>
      <c r="B371" s="261"/>
      <c r="C371" s="261"/>
      <c r="D371" s="261"/>
      <c r="E371" s="261"/>
      <c r="F371" s="262"/>
    </row>
    <row r="372" spans="1:6">
      <c r="A372" s="259"/>
      <c r="B372" s="261"/>
      <c r="C372" s="261"/>
      <c r="D372" s="261"/>
      <c r="E372" s="261"/>
      <c r="F372" s="262"/>
    </row>
    <row r="373" spans="1:6">
      <c r="A373" s="259"/>
      <c r="B373" s="261"/>
      <c r="C373" s="261"/>
      <c r="D373" s="261"/>
      <c r="E373" s="261"/>
      <c r="F373" s="262"/>
    </row>
    <row r="374" spans="1:6">
      <c r="A374" s="259"/>
      <c r="B374" s="261"/>
      <c r="C374" s="261"/>
      <c r="D374" s="261"/>
      <c r="E374" s="261"/>
      <c r="F374" s="262"/>
    </row>
    <row r="375" spans="1:6">
      <c r="A375" s="259"/>
      <c r="B375" s="261"/>
      <c r="C375" s="261"/>
      <c r="D375" s="261"/>
      <c r="E375" s="261"/>
      <c r="F375" s="262"/>
    </row>
    <row r="376" spans="1:6">
      <c r="A376" s="259"/>
      <c r="B376" s="261"/>
      <c r="C376" s="261"/>
      <c r="D376" s="261"/>
      <c r="E376" s="261"/>
      <c r="F376" s="262"/>
    </row>
    <row r="377" spans="1:6">
      <c r="A377" s="259"/>
      <c r="B377" s="261"/>
      <c r="C377" s="261"/>
      <c r="D377" s="261"/>
      <c r="E377" s="261"/>
      <c r="F377" s="262"/>
    </row>
    <row r="378" spans="1:6">
      <c r="A378" s="259"/>
      <c r="B378" s="261"/>
      <c r="C378" s="261"/>
      <c r="D378" s="261"/>
      <c r="E378" s="261"/>
      <c r="F378" s="262"/>
    </row>
    <row r="379" spans="1:6">
      <c r="A379" s="259"/>
      <c r="B379" s="261"/>
      <c r="C379" s="261"/>
      <c r="D379" s="261"/>
      <c r="E379" s="261"/>
      <c r="F379" s="262"/>
    </row>
    <row r="380" spans="1:6">
      <c r="A380" s="259"/>
      <c r="B380" s="261"/>
      <c r="C380" s="261"/>
      <c r="D380" s="261"/>
      <c r="E380" s="261"/>
      <c r="F380" s="262"/>
    </row>
    <row r="381" spans="1:6">
      <c r="A381" s="259"/>
      <c r="B381" s="261"/>
      <c r="C381" s="261"/>
      <c r="D381" s="261"/>
      <c r="E381" s="261"/>
      <c r="F381" s="262"/>
    </row>
    <row r="382" spans="1:6">
      <c r="A382" s="259"/>
      <c r="B382" s="261"/>
      <c r="C382" s="261"/>
      <c r="D382" s="261"/>
      <c r="E382" s="261"/>
      <c r="F382" s="262"/>
    </row>
    <row r="383" spans="1:6">
      <c r="A383" s="259"/>
      <c r="B383" s="261"/>
      <c r="C383" s="261"/>
      <c r="D383" s="261"/>
      <c r="E383" s="261"/>
      <c r="F383" s="262"/>
    </row>
    <row r="384" spans="1:6">
      <c r="A384" s="259"/>
      <c r="B384" s="261"/>
      <c r="C384" s="261"/>
      <c r="D384" s="261"/>
      <c r="E384" s="261"/>
      <c r="F384" s="262"/>
    </row>
    <row r="385" spans="1:6">
      <c r="A385" s="259"/>
      <c r="B385" s="261"/>
      <c r="C385" s="261"/>
      <c r="D385" s="261"/>
      <c r="E385" s="261"/>
      <c r="F385" s="262"/>
    </row>
    <row r="386" spans="1:6">
      <c r="A386" s="259"/>
      <c r="B386" s="261"/>
      <c r="C386" s="261"/>
      <c r="D386" s="261"/>
      <c r="E386" s="261"/>
      <c r="F386" s="262"/>
    </row>
    <row r="387" spans="1:6">
      <c r="A387" s="259"/>
      <c r="B387" s="261"/>
      <c r="C387" s="261"/>
      <c r="D387" s="261"/>
      <c r="E387" s="261"/>
      <c r="F387" s="262"/>
    </row>
    <row r="388" spans="1:6">
      <c r="A388" s="259"/>
      <c r="B388" s="261"/>
      <c r="C388" s="261"/>
      <c r="D388" s="261"/>
      <c r="E388" s="261"/>
      <c r="F388" s="262"/>
    </row>
    <row r="389" spans="1:6">
      <c r="A389" s="259"/>
      <c r="B389" s="261"/>
      <c r="C389" s="261"/>
      <c r="D389" s="261"/>
      <c r="E389" s="261"/>
      <c r="F389" s="262"/>
    </row>
    <row r="390" spans="1:6">
      <c r="A390" s="259"/>
      <c r="B390" s="261"/>
      <c r="C390" s="261"/>
      <c r="D390" s="261"/>
      <c r="E390" s="261"/>
      <c r="F390" s="262"/>
    </row>
    <row r="391" spans="1:6">
      <c r="A391" s="259"/>
      <c r="B391" s="261"/>
      <c r="C391" s="261"/>
      <c r="D391" s="261"/>
      <c r="E391" s="261"/>
      <c r="F391" s="262"/>
    </row>
    <row r="392" spans="1:6">
      <c r="A392" s="259"/>
      <c r="B392" s="261"/>
      <c r="C392" s="261"/>
      <c r="D392" s="261"/>
      <c r="E392" s="261"/>
      <c r="F392" s="262"/>
    </row>
    <row r="393" spans="1:6">
      <c r="A393" s="259"/>
      <c r="B393" s="261"/>
      <c r="C393" s="261"/>
      <c r="D393" s="261"/>
      <c r="E393" s="261"/>
      <c r="F393" s="262"/>
    </row>
    <row r="394" spans="1:6">
      <c r="A394" s="259"/>
      <c r="B394" s="261"/>
      <c r="C394" s="261"/>
      <c r="D394" s="261"/>
      <c r="E394" s="261"/>
      <c r="F394" s="262"/>
    </row>
    <row r="395" spans="1:6">
      <c r="A395" s="259"/>
      <c r="B395" s="261"/>
      <c r="C395" s="261"/>
      <c r="D395" s="261"/>
      <c r="E395" s="261"/>
      <c r="F395" s="262"/>
    </row>
    <row r="396" spans="1:6">
      <c r="A396" s="259"/>
      <c r="B396" s="261"/>
      <c r="C396" s="261"/>
      <c r="D396" s="261"/>
      <c r="E396" s="261"/>
      <c r="F396" s="262"/>
    </row>
    <row r="397" spans="1:6">
      <c r="A397" s="259"/>
      <c r="B397" s="261"/>
      <c r="C397" s="261"/>
      <c r="D397" s="261"/>
      <c r="E397" s="261"/>
      <c r="F397" s="262"/>
    </row>
    <row r="398" spans="1:6">
      <c r="A398" s="259"/>
      <c r="B398" s="261"/>
      <c r="C398" s="261"/>
      <c r="D398" s="261"/>
      <c r="E398" s="261"/>
      <c r="F398" s="262"/>
    </row>
    <row r="399" spans="1:6">
      <c r="A399" s="259"/>
      <c r="B399" s="261"/>
      <c r="C399" s="261"/>
      <c r="D399" s="261"/>
      <c r="E399" s="261"/>
      <c r="F399" s="262"/>
    </row>
    <row r="400" spans="1:6">
      <c r="A400" s="259"/>
      <c r="B400" s="261"/>
      <c r="C400" s="261"/>
      <c r="D400" s="261"/>
      <c r="E400" s="261"/>
      <c r="F400" s="262"/>
    </row>
    <row r="401" spans="1:6">
      <c r="A401" s="259"/>
      <c r="B401" s="261"/>
      <c r="C401" s="261"/>
      <c r="D401" s="261"/>
      <c r="E401" s="261"/>
      <c r="F401" s="262"/>
    </row>
    <row r="402" spans="1:6">
      <c r="A402" s="259"/>
      <c r="B402" s="261"/>
      <c r="C402" s="261"/>
      <c r="D402" s="261"/>
      <c r="E402" s="261"/>
      <c r="F402" s="262"/>
    </row>
    <row r="403" spans="1:6">
      <c r="A403" s="259"/>
      <c r="B403" s="261"/>
      <c r="C403" s="261"/>
      <c r="D403" s="261"/>
      <c r="E403" s="261"/>
      <c r="F403" s="262"/>
    </row>
    <row r="404" spans="1:6">
      <c r="A404" s="259"/>
      <c r="B404" s="261"/>
      <c r="C404" s="261"/>
      <c r="D404" s="261"/>
      <c r="E404" s="261"/>
      <c r="F404" s="262"/>
    </row>
    <row r="405" spans="1:6">
      <c r="A405" s="259"/>
      <c r="B405" s="261"/>
      <c r="C405" s="261"/>
      <c r="D405" s="261"/>
      <c r="E405" s="261"/>
      <c r="F405" s="262"/>
    </row>
    <row r="406" spans="1:6">
      <c r="A406" s="259"/>
      <c r="B406" s="261"/>
      <c r="C406" s="261"/>
      <c r="D406" s="261"/>
      <c r="E406" s="261"/>
      <c r="F406" s="262"/>
    </row>
    <row r="407" spans="1:6">
      <c r="A407" s="259"/>
      <c r="B407" s="261"/>
      <c r="C407" s="261"/>
      <c r="D407" s="261"/>
      <c r="E407" s="261"/>
      <c r="F407" s="262"/>
    </row>
    <row r="408" spans="1:6">
      <c r="A408" s="259"/>
      <c r="B408" s="261"/>
      <c r="C408" s="261"/>
      <c r="D408" s="261"/>
      <c r="E408" s="261"/>
      <c r="F408" s="262"/>
    </row>
    <row r="409" spans="1:6">
      <c r="A409" s="259"/>
      <c r="B409" s="261"/>
      <c r="C409" s="261"/>
      <c r="D409" s="261"/>
      <c r="E409" s="261"/>
      <c r="F409" s="262"/>
    </row>
    <row r="410" spans="1:6">
      <c r="A410" s="259"/>
      <c r="B410" s="261"/>
      <c r="C410" s="261"/>
      <c r="D410" s="261"/>
      <c r="E410" s="261"/>
      <c r="F410" s="262"/>
    </row>
    <row r="411" spans="1:6">
      <c r="A411" s="259"/>
      <c r="B411" s="261"/>
      <c r="C411" s="261"/>
      <c r="D411" s="261"/>
      <c r="E411" s="261"/>
      <c r="F411" s="262"/>
    </row>
    <row r="412" spans="1:6" ht="13" thickBot="1">
      <c r="A412" s="259"/>
      <c r="B412" s="261"/>
      <c r="C412" s="261"/>
      <c r="D412" s="261"/>
      <c r="E412" s="261"/>
      <c r="F412" s="262"/>
    </row>
    <row r="413" spans="1:6" ht="13" thickTop="1">
      <c r="A413" s="15"/>
      <c r="B413" s="10"/>
      <c r="C413" s="104"/>
      <c r="D413" s="119"/>
      <c r="E413" s="105"/>
      <c r="F413" s="80"/>
    </row>
    <row r="414" spans="1:6" ht="13">
      <c r="A414" s="106"/>
      <c r="B414" s="107" t="s">
        <v>437</v>
      </c>
      <c r="C414" s="108"/>
      <c r="D414" s="120"/>
      <c r="E414" s="109"/>
      <c r="F414" s="75">
        <f>SUM(F359:F379)</f>
        <v>205949940</v>
      </c>
    </row>
    <row r="415" spans="1:6" ht="13" thickBot="1">
      <c r="A415" s="12"/>
      <c r="B415" s="110"/>
      <c r="C415" s="111"/>
      <c r="D415" s="122"/>
      <c r="E415" s="112"/>
      <c r="F415" s="82"/>
    </row>
    <row r="416" spans="1:6" ht="13" thickTop="1"/>
  </sheetData>
  <mergeCells count="13">
    <mergeCell ref="B183:E183"/>
    <mergeCell ref="A2:F2"/>
    <mergeCell ref="B50:E50"/>
    <mergeCell ref="A51:F51"/>
    <mergeCell ref="B119:E119"/>
    <mergeCell ref="A120:F120"/>
    <mergeCell ref="A184:F184"/>
    <mergeCell ref="B237:E237"/>
    <mergeCell ref="A238:F238"/>
    <mergeCell ref="B353:E353"/>
    <mergeCell ref="A354:F354"/>
    <mergeCell ref="B294:E294"/>
    <mergeCell ref="A295:F295"/>
  </mergeCells>
  <printOptions horizontalCentered="1" verticalCentered="1"/>
  <pageMargins left="0.75" right="0.5" top="0.75" bottom="0.75" header="0.5" footer="0.5"/>
  <pageSetup paperSize="9" scale="90"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Cover Page </vt:lpstr>
      <vt:lpstr>PREAMBLE</vt:lpstr>
      <vt:lpstr>Summary</vt:lpstr>
      <vt:lpstr>Bill No. 1 - P &amp; G</vt:lpstr>
      <vt:lpstr>Bill No. 2 - Rising Main</vt:lpstr>
      <vt:lpstr>BILL NO. 5 RISING MAIN</vt:lpstr>
      <vt:lpstr>BILL NO. 7 - TRANSMISSION MAIN </vt:lpstr>
      <vt:lpstr>BILL NO. 9 -CONSUMER CONNECTION</vt:lpstr>
      <vt:lpstr>BILL NO. 8 - DISTRIBUTION LINES</vt:lpstr>
      <vt:lpstr>BILL NO. 3 - RAW WATER</vt:lpstr>
      <vt:lpstr>Bill No. 3 - Reservoir</vt:lpstr>
      <vt:lpstr>Bill No. 4 - Pump Station</vt:lpstr>
      <vt:lpstr>Bill No. 5 - Dayworks</vt:lpstr>
      <vt:lpstr>'Bill No. 1 - P &amp; G'!Print_Area</vt:lpstr>
      <vt:lpstr>'Bill No. 2 - Rising Main'!Print_Area</vt:lpstr>
      <vt:lpstr>'BILL NO. 3 - RAW WATER'!Print_Area</vt:lpstr>
      <vt:lpstr>'Bill No. 3 - Reservoir'!Print_Area</vt:lpstr>
      <vt:lpstr>'Bill No. 4 - Pump Station'!Print_Area</vt:lpstr>
      <vt:lpstr>'Bill No. 5 - Dayworks'!Print_Area</vt:lpstr>
      <vt:lpstr>'BILL NO. 5 RISING MAIN'!Print_Area</vt:lpstr>
      <vt:lpstr>'BILL NO. 7 - TRANSMISSION MAIN '!Print_Area</vt:lpstr>
      <vt:lpstr>'BILL NO. 8 - DISTRIBUTION LINES'!Print_Area</vt:lpstr>
      <vt:lpstr>'BILL NO. 9 -CONSUMER CONNECTION'!Print_Area</vt:lpstr>
      <vt:lpstr>'Cover Page '!Print_Area</vt:lpstr>
      <vt:lpstr>Summary!Print_Area</vt:lpstr>
      <vt:lpstr>'Bill No. 2 - Rising Main'!Print_Titles</vt:lpstr>
      <vt:lpstr>'Bill No. 3 - Reservoir'!Print_Titles</vt:lpstr>
    </vt:vector>
  </TitlesOfParts>
  <Company>HOWARD HUMPHREYS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Bochieng</dc:creator>
  <cp:lastModifiedBy>Masudi</cp:lastModifiedBy>
  <cp:lastPrinted>2021-07-01T10:02:02Z</cp:lastPrinted>
  <dcterms:created xsi:type="dcterms:W3CDTF">2005-01-12T05:03:09Z</dcterms:created>
  <dcterms:modified xsi:type="dcterms:W3CDTF">2021-09-17T10:14:52Z</dcterms:modified>
</cp:coreProperties>
</file>