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02" activeTab="0"/>
  </bookViews>
  <sheets>
    <sheet name="Works" sheetId="1" r:id="rId1"/>
    <sheet name="Consultancy " sheetId="2" r:id="rId2"/>
    <sheet name="Goods" sheetId="3" r:id="rId3"/>
    <sheet name="Training" sheetId="4" r:id="rId4"/>
    <sheet name="Summary" sheetId="5" r:id="rId5"/>
    <sheet name="Drought" sheetId="6" r:id="rId6"/>
  </sheets>
  <definedNames>
    <definedName name="_xlnm.Print_Area" localSheetId="1">'Consultancy '!$A$1:$U$74</definedName>
    <definedName name="_xlnm.Print_Area" localSheetId="2">'Goods'!$A$1:$Q$82</definedName>
    <definedName name="_xlnm.Print_Area" localSheetId="4">'Summary'!$A$1:$F$31</definedName>
    <definedName name="_xlnm.Print_Area" localSheetId="3">'Training'!$A$1:$K$71</definedName>
    <definedName name="_xlnm.Print_Area" localSheetId="0">'Works'!$A$1:$P$76</definedName>
    <definedName name="_xlnm.Print_Titles" localSheetId="1">'Consultancy '!$A:$U,'Consultancy '!$11:$12</definedName>
    <definedName name="_xlnm.Print_Titles" localSheetId="0">'Works'!$A:$P,'Works'!$9:$11</definedName>
  </definedNames>
  <calcPr fullCalcOnLoad="1"/>
</workbook>
</file>

<file path=xl/sharedStrings.xml><?xml version="1.0" encoding="utf-8"?>
<sst xmlns="http://schemas.openxmlformats.org/spreadsheetml/2006/main" count="1699" uniqueCount="438">
  <si>
    <t>QCBS</t>
  </si>
  <si>
    <t>Contract Description</t>
  </si>
  <si>
    <t>Submission of proposals by consultants</t>
  </si>
  <si>
    <t>Contract signature</t>
  </si>
  <si>
    <t>Planned</t>
  </si>
  <si>
    <t>Actual</t>
  </si>
  <si>
    <t xml:space="preserve"> Submit combined evaluation to IDA for information</t>
  </si>
  <si>
    <t>Procurement Method</t>
  </si>
  <si>
    <t xml:space="preserve">Submission of bids &amp; Bid opening </t>
  </si>
  <si>
    <t>Review &amp; clearance &amp; acceptance</t>
  </si>
  <si>
    <t>Issuance of letter of acceptance</t>
  </si>
  <si>
    <t>Duly signed form of contract</t>
  </si>
  <si>
    <t>Delilvery of  Goods</t>
  </si>
  <si>
    <t>NCB</t>
  </si>
  <si>
    <t>Procurement method</t>
  </si>
  <si>
    <t>SPN Advert date</t>
  </si>
  <si>
    <t xml:space="preserve">  Bid opening Minutes to IDA </t>
  </si>
  <si>
    <t>No</t>
  </si>
  <si>
    <t>No. of officers</t>
  </si>
  <si>
    <t>Status</t>
  </si>
  <si>
    <t>ICB</t>
  </si>
  <si>
    <t>12 months</t>
  </si>
  <si>
    <t>Final Contract documents to IDA</t>
  </si>
  <si>
    <t xml:space="preserve"> Contract signature</t>
  </si>
  <si>
    <t>Bid submission &amp; Opening</t>
  </si>
  <si>
    <t>Contract Negotiation</t>
  </si>
  <si>
    <t>4 months</t>
  </si>
  <si>
    <t>18 months</t>
  </si>
  <si>
    <t>Contract sum Design and Supervision USD</t>
  </si>
  <si>
    <t>Contract sum USD</t>
  </si>
  <si>
    <t>Invitation of Bids</t>
  </si>
  <si>
    <t>Contract Cost USD</t>
  </si>
  <si>
    <t>PROCUREMENT PLANS - WORKS CONTRACTS</t>
  </si>
  <si>
    <t xml:space="preserve">PROCUREMENT PLANS - CONSULTANCY SERVICES </t>
  </si>
  <si>
    <t>PROCUREMENT PLANS - GOODS CONTRACTS</t>
  </si>
  <si>
    <t>COAST WATER SERVICES BOARD - WORLD BANK FUNDED WATER &amp; SANITATION SERVICE IMPROVEMENT PROJECT</t>
  </si>
  <si>
    <t>CP:19.06.07</t>
  </si>
  <si>
    <t>Works</t>
  </si>
  <si>
    <t>Goods</t>
  </si>
  <si>
    <t>Consuting services</t>
  </si>
  <si>
    <t>Training and workshops</t>
  </si>
  <si>
    <t>RAP implementation</t>
  </si>
  <si>
    <t>Total</t>
  </si>
  <si>
    <t>TOTAL</t>
  </si>
  <si>
    <t>Unallocated</t>
  </si>
  <si>
    <t>Operational cost</t>
  </si>
  <si>
    <t>Notes</t>
  </si>
  <si>
    <t>Total,US$</t>
  </si>
  <si>
    <t>CQS</t>
  </si>
  <si>
    <t>N/A</t>
  </si>
  <si>
    <t>Bank Review (Prior/Post)</t>
  </si>
  <si>
    <t>Post</t>
  </si>
  <si>
    <t>Prior</t>
  </si>
  <si>
    <t>Review by Bank (Prior/Post)</t>
  </si>
  <si>
    <t>6 months</t>
  </si>
  <si>
    <t>3. Base cost is 90%,ie less 10% as the unallocated funds</t>
  </si>
  <si>
    <t>S/No</t>
  </si>
  <si>
    <t>8 months</t>
  </si>
  <si>
    <t>Notes:</t>
  </si>
  <si>
    <t>Course Description</t>
  </si>
  <si>
    <t>Date of Training</t>
  </si>
  <si>
    <t>Target</t>
  </si>
  <si>
    <t>Location</t>
  </si>
  <si>
    <t>PROCUREMENT PLANS -CONSULTANCY CONTRACTS</t>
  </si>
  <si>
    <t xml:space="preserve">PROCUREMENT PLANS - ADDITIONAL FINANCING- WORKS CONTRACTS </t>
  </si>
  <si>
    <t>ADDITIONAL FINANCING AND DROUGHT RESPONSE ACTIVITIES</t>
  </si>
  <si>
    <t>24 months</t>
  </si>
  <si>
    <t>Supply of Bulk water equipments and tools</t>
  </si>
  <si>
    <t>Supply of 30,000 ordinary consumer and bulk water meters for WSPs</t>
  </si>
  <si>
    <t>Supply of 30 motorcycles for meter reading and general operations of the WSPs</t>
  </si>
  <si>
    <t>Supply of 4No. Sets of Leak detection equipments and associated hand tools</t>
  </si>
  <si>
    <t>2. Operational cost to be determined</t>
  </si>
  <si>
    <t>1. Training and Workshops to be determined but provisional budget is USD 700,000</t>
  </si>
  <si>
    <t>Ground Water Study for the Merti Acquifer in Wajir</t>
  </si>
  <si>
    <t>Bidding docs &amp; SPN to IDA</t>
  </si>
  <si>
    <t>IDA No Objection to bidding docs &amp; SPN</t>
  </si>
  <si>
    <t>Duration without one year Defect Liability Period</t>
  </si>
  <si>
    <t>format to paper</t>
  </si>
  <si>
    <t>Drought Mitigation Study (Plan) for CWSB region</t>
  </si>
  <si>
    <t xml:space="preserve">Contract Period </t>
  </si>
  <si>
    <t>Development of Waste water master plan for Mombasa and other selected towns</t>
  </si>
  <si>
    <t>Study on incentive based performance for Mowasco and 6WSPs Staff</t>
  </si>
  <si>
    <t>Customer identification survey and infrastructure mapping for all WSPs</t>
  </si>
  <si>
    <t>Energy audits in water utilities (WSPs)</t>
  </si>
  <si>
    <t>Construction of office blocks for Tavevo and Lamu WSPs</t>
  </si>
  <si>
    <t>Rehabilitation of Kizingo WWTP</t>
  </si>
  <si>
    <t>WaSSIP I Financing Gap</t>
  </si>
  <si>
    <t>Project Communication</t>
  </si>
  <si>
    <t>15 months</t>
  </si>
  <si>
    <t>Office Equipment for CWSB, Bulk Company and WSPs</t>
  </si>
  <si>
    <t>Supply of 2No.water trucking boats (with engine power) for Lamu and Wasini Islands</t>
  </si>
  <si>
    <t>IDA No Objection to BER</t>
  </si>
  <si>
    <t>Submit Bid Evaluation Report (BER) to IDA</t>
  </si>
  <si>
    <t>Submission of Draft Bidding Docs to IDA</t>
  </si>
  <si>
    <t>IDA No objection to draft Bidding Docs</t>
  </si>
  <si>
    <t>Submission of Bid Evaluation Report (BER) to IDA</t>
  </si>
  <si>
    <t>Submission Short list to IDA</t>
  </si>
  <si>
    <t>IDA No objection of Shortlist and RFP</t>
  </si>
  <si>
    <t>Submission Technical Evaluation to IDA</t>
  </si>
  <si>
    <t>IDA No objection of technical evaluation report</t>
  </si>
  <si>
    <t>Submit Draft negotiated contract to IDA</t>
  </si>
  <si>
    <t>IDA No objection to negotiated draft contract</t>
  </si>
  <si>
    <t>36 months</t>
  </si>
  <si>
    <t>Submission of Bid Opening Minutes</t>
  </si>
  <si>
    <t xml:space="preserve"> IDA No Objection Letter to BER</t>
  </si>
  <si>
    <r>
      <t xml:space="preserve">Construction of Water Supplies in Drought Areas </t>
    </r>
    <r>
      <rPr>
        <u val="single"/>
        <sz val="10"/>
        <rFont val="Times New Roman"/>
        <family val="1"/>
      </rPr>
      <t>Lot 1: Equiping of Existing Boreholes                               Lot 2:  Development &amp; Equiping of New Boreholes  Lot 3: Construction of Elevated Tanks at Existing Borehole Locations</t>
    </r>
  </si>
  <si>
    <t>Date of Submission of EOI</t>
  </si>
  <si>
    <t>Date of EOI Advert</t>
  </si>
  <si>
    <t>Extending services to informal settlements- Malindi Works</t>
  </si>
  <si>
    <t>9 Months</t>
  </si>
  <si>
    <t>Supply &amp; Delivery of Bulk Water Company Office Furnishings</t>
  </si>
  <si>
    <t>Shopping</t>
  </si>
  <si>
    <t>Rehabilitation &amp; Partitioning of Bulk Water Company offices</t>
  </si>
  <si>
    <t>Supervision Services for the Rehabilitation of the Bulk Pipeline System Works</t>
  </si>
  <si>
    <t>SSS</t>
  </si>
  <si>
    <t>Construction of earth dam in NWSB (Bute Dam)</t>
  </si>
  <si>
    <t>Design Review and Supervision of Bute Dam</t>
  </si>
  <si>
    <t>1(a)</t>
  </si>
  <si>
    <t>1(b)</t>
  </si>
  <si>
    <t>1(c)</t>
  </si>
  <si>
    <t>Emergency Immediate Works-Lot 1: Agumentation of the Baricho Wellfield &amp; Electromechanical Works</t>
  </si>
  <si>
    <t>Rehabilitation of the Mombasa WSP Water Reticulation Network-Part of Lot 2</t>
  </si>
  <si>
    <t>Review and updating of previous studies, conceptual and detailed design, tender documents preparation and construction supervision for the emergency  immediate works for lot 1,2&amp;3</t>
  </si>
  <si>
    <t>COAST WATER SERVICES BOARD -</t>
  </si>
  <si>
    <t>USD</t>
  </si>
  <si>
    <t>Nairobi</t>
  </si>
  <si>
    <t>Corporate governance</t>
  </si>
  <si>
    <t>New Directors/Management</t>
  </si>
  <si>
    <t>Mombasa</t>
  </si>
  <si>
    <t>Technical staff</t>
  </si>
  <si>
    <t>Contract management</t>
  </si>
  <si>
    <t>frontline staff</t>
  </si>
  <si>
    <t>IT security</t>
  </si>
  <si>
    <t>It staff</t>
  </si>
  <si>
    <t>Evaluation of tenders</t>
  </si>
  <si>
    <t>Members of  procurement commiittees</t>
  </si>
  <si>
    <t>August,2013</t>
  </si>
  <si>
    <t>Hr Staff</t>
  </si>
  <si>
    <t>project monitoring and evaluation</t>
  </si>
  <si>
    <t>Snr Management  course</t>
  </si>
  <si>
    <t>Management/mid management</t>
  </si>
  <si>
    <t>VOI</t>
  </si>
  <si>
    <t>Environmental Planning and Implementation</t>
  </si>
  <si>
    <t>Environmental Unit</t>
  </si>
  <si>
    <t>Delft, Netherlands</t>
  </si>
  <si>
    <t>Protocol and event management</t>
  </si>
  <si>
    <t>corporate communication staff</t>
  </si>
  <si>
    <t>Arusha</t>
  </si>
  <si>
    <t>Registry staff</t>
  </si>
  <si>
    <t>Accountants</t>
  </si>
  <si>
    <t>study tour</t>
  </si>
  <si>
    <t>Study tour to Thailand</t>
  </si>
  <si>
    <t>Management/project staff</t>
  </si>
  <si>
    <t>Thailand</t>
  </si>
  <si>
    <t>TRAINING FOR  WATER SERVICE PROVIDERS</t>
  </si>
  <si>
    <t>(INCLUDING BULK UNIT)</t>
  </si>
  <si>
    <t>Supervisory skills for supervisors and managers</t>
  </si>
  <si>
    <t>Supervisory staff</t>
  </si>
  <si>
    <t>Meter reading</t>
  </si>
  <si>
    <t>meter readers</t>
  </si>
  <si>
    <t>Operation and maintenance of water supply network.</t>
  </si>
  <si>
    <t>Feb,2014</t>
  </si>
  <si>
    <t>Billing and revenue collection</t>
  </si>
  <si>
    <t>Billing staff</t>
  </si>
  <si>
    <t>GIS applicationin management of  water utilities</t>
  </si>
  <si>
    <t>Non revenue water management</t>
  </si>
  <si>
    <t>Directors</t>
  </si>
  <si>
    <t>customer care and Public relations</t>
  </si>
  <si>
    <t>Meter reading  staff/front office staff</t>
  </si>
  <si>
    <t>Negotiation  and debt collection skills</t>
  </si>
  <si>
    <t>HR staff</t>
  </si>
  <si>
    <t>Snr Management course</t>
  </si>
  <si>
    <t>Management staff</t>
  </si>
  <si>
    <t>Records management -manual and electronic</t>
  </si>
  <si>
    <t xml:space="preserve">Leadership skills Development </t>
  </si>
  <si>
    <t>Management,mid management</t>
  </si>
  <si>
    <t>Management,supervisors</t>
  </si>
  <si>
    <t>study tours</t>
  </si>
  <si>
    <t>April,2014</t>
  </si>
  <si>
    <t>Germany</t>
  </si>
  <si>
    <t>Study tour to Nyeri water</t>
  </si>
  <si>
    <t>June,2014</t>
  </si>
  <si>
    <t>Junior staff/mid Management</t>
  </si>
  <si>
    <t>Nyeri</t>
  </si>
  <si>
    <t>Actuals</t>
  </si>
  <si>
    <t>Study tour to Germany</t>
  </si>
  <si>
    <t>12 Months</t>
  </si>
  <si>
    <t>3 months</t>
  </si>
  <si>
    <t>Supply &amp; Delivery of Bulk Water Machinery &amp; Vehicles</t>
  </si>
  <si>
    <t xml:space="preserve">Consultancy Services for Preparation of EIA&amp; RAP Reports for all Works </t>
  </si>
  <si>
    <t>Supply, Installation and  Maintance of Billing Systems for 6WSPs (Malindi, Kilifi, Kwale, Tavevo, Lamu and Tana River)</t>
  </si>
  <si>
    <t>Preparation/Review of strategic plans for CWSB and all the WSPs</t>
  </si>
  <si>
    <t xml:space="preserve">Consultancy Services for Mombasa &amp; Malindi Informal Settlements Works Supervision  </t>
  </si>
  <si>
    <t>Establishment and registration of wayleaves for water facilities  for various works</t>
  </si>
  <si>
    <t>Technical staf</t>
  </si>
  <si>
    <t>Nov,2013</t>
  </si>
  <si>
    <t>National HRM Conference</t>
  </si>
  <si>
    <t>Staff involved in project implementation</t>
  </si>
  <si>
    <t>All staff</t>
  </si>
  <si>
    <t>Records management-manual and electronic</t>
  </si>
  <si>
    <t>mombasa</t>
  </si>
  <si>
    <t>Advanced fraud examiners course</t>
  </si>
  <si>
    <t>DEC,2013</t>
  </si>
  <si>
    <t>Internal Auditor</t>
  </si>
  <si>
    <t>HOD'Sand Environmental Unit</t>
  </si>
  <si>
    <t>career management</t>
  </si>
  <si>
    <t>HR  officers</t>
  </si>
  <si>
    <t>Supply &amp; Delivery of MOWASCO Repair Kit (Pipes &amp; Fittings)</t>
  </si>
  <si>
    <t xml:space="preserve">Supply of 500No. 10m3 plastic water tanks to public schools and institutions in drought prone areas for rain water harvesting </t>
  </si>
  <si>
    <t>12(a)</t>
  </si>
  <si>
    <t>12(b)</t>
  </si>
  <si>
    <t>Supply, Installation and Maintenance of GIS Systems for 6WSPs (Malindi, Kilifi, Kwale, Tavevo, Lamu and Tana River)</t>
  </si>
  <si>
    <t>Detailed Design, Tender Document Preparation and Supervision of Kizingo WWTP</t>
  </si>
  <si>
    <t>Supervision of Drought Response Civil works</t>
  </si>
  <si>
    <t>Consultancy Services for Preparation of Investment Plan for all WSPs</t>
  </si>
  <si>
    <t>Consultancy for Bulk Water Services Contract 2</t>
  </si>
  <si>
    <t>18(b)</t>
  </si>
  <si>
    <t>19(a)</t>
  </si>
  <si>
    <t>19(b)</t>
  </si>
  <si>
    <t>19(c)</t>
  </si>
  <si>
    <t>Installation of Plastics Tanks &amp; gutters and Fittings at Various Sites in CWSB</t>
  </si>
  <si>
    <t>Installation of Plastics Tanks &amp; gutters and Fittings at Various Sites in Wajir, Garissa &amp; Mandera Counties in NWSB</t>
  </si>
  <si>
    <t>Installation of Plastics Tanks &amp; gutters and Fittings at Various Sites Marsabit, Isiolo Counties in NWSB</t>
  </si>
  <si>
    <t>Construction of Surface Modular Pressed Steel Water Tanks for CWSB</t>
  </si>
  <si>
    <t>Consultancy Services for Communication Strategy Contract 2</t>
  </si>
  <si>
    <t>USA</t>
  </si>
  <si>
    <t>Management</t>
  </si>
  <si>
    <t>Supply of submersible pumps</t>
  </si>
  <si>
    <t xml:space="preserve">UFW/NRW Reduction Consultancy Services for Bulk and  all WSPs (Kilifi, Malindi, Lamu, Tavevo, Kwale and Tana River) </t>
  </si>
  <si>
    <t>Supply &amp; Delivery of Utility Mini-lorries for CWSB, Water Bowsers and 4WD  drought Monitoring vehicles for CWSB &amp;NWSB</t>
  </si>
  <si>
    <t>Supply &amp; Delivery of Portable Steel Tanks, Collapsible Tanks and Dewatering Pumps for CWSB</t>
  </si>
  <si>
    <t>CWSB Component  - Summary of Project Costs</t>
  </si>
  <si>
    <t>GoK/CWSB,US $</t>
  </si>
  <si>
    <t>Consultancy for Implementation of the Recievables/Reconcilliation Report</t>
  </si>
  <si>
    <t>Design Review &amp; Supervision of Mombasa WSP Water Reticulation System-lot 2</t>
  </si>
  <si>
    <t>Completed</t>
  </si>
  <si>
    <t>April ,2014</t>
  </si>
  <si>
    <t>July,2014</t>
  </si>
  <si>
    <t>20(a)</t>
  </si>
  <si>
    <t>20(b)</t>
  </si>
  <si>
    <t xml:space="preserve">Extending services to informal settlements- Mombasa Works-Lot 1 </t>
  </si>
  <si>
    <t>Extending services to informal settlements- Mombasa Works-Lot 2</t>
  </si>
  <si>
    <t>Consultancy Services for Bute Dam Safety Inspection/Review</t>
  </si>
  <si>
    <t>25 Months</t>
  </si>
  <si>
    <t>6 Months</t>
  </si>
  <si>
    <t>9 months</t>
  </si>
  <si>
    <t>WASSIP AF TRAINING PLAN- 2014/2015</t>
  </si>
  <si>
    <t>2 Directors trained-july,2013</t>
  </si>
  <si>
    <t>GIS management for water utilities</t>
  </si>
  <si>
    <t>August,2014</t>
  </si>
  <si>
    <t>completed</t>
  </si>
  <si>
    <t>october,2013</t>
  </si>
  <si>
    <t xml:space="preserve"> Project planning and management</t>
  </si>
  <si>
    <t>Team building  and change management</t>
  </si>
  <si>
    <t>Aug,2014</t>
  </si>
  <si>
    <t>study tour to US -Greenheat sanitation process</t>
  </si>
  <si>
    <t>November,2013</t>
  </si>
  <si>
    <t>Feb,2015</t>
  </si>
  <si>
    <t>March ,2014</t>
  </si>
  <si>
    <t>Sept,2014</t>
  </si>
  <si>
    <t>Performance management and appraissal</t>
  </si>
  <si>
    <t>Training on PDMA MCEmax</t>
  </si>
  <si>
    <t>JUNE,2014</t>
  </si>
  <si>
    <t>Engineers</t>
  </si>
  <si>
    <t>Florida-USA</t>
  </si>
  <si>
    <t>No objection by IDA on TOR</t>
  </si>
  <si>
    <t>Kilifi NRW Works Contract</t>
  </si>
  <si>
    <t>Drought Responses</t>
  </si>
  <si>
    <t xml:space="preserve">Submit to IDA the draft TOR, REOI </t>
  </si>
  <si>
    <t>Report status</t>
  </si>
  <si>
    <t>Supply of 9No. mobile water treatment units for both silty river water and saline water from boreholes (to be pulled by pickup) to all counties within Coast and Northern WSBs</t>
  </si>
  <si>
    <t>5(a)</t>
  </si>
  <si>
    <t>5(b)</t>
  </si>
  <si>
    <t>Supply of 4No. Sets of Leak detection equipments and associated hand tools-rebidding</t>
  </si>
  <si>
    <t>Supply and Delivery of Standby Generating Sets</t>
  </si>
  <si>
    <t>Supply and Delivery of Dewatering Pumping Units</t>
  </si>
  <si>
    <t>4. NWSB Component was allocated USD</t>
  </si>
  <si>
    <t>Construction of Kilifi and Malindi Sludge Drying Beds</t>
  </si>
  <si>
    <t>Printing of Communication Materials (Calendars, Diaries, bags etc)</t>
  </si>
  <si>
    <t xml:space="preserve">Emergency Immediate Works-Lot 2: Water Treatment/Manganese Removal </t>
  </si>
  <si>
    <t>Emergency Immediate Works-Lot 3: Kakuyuni/Gongoni &amp; Kakuyuni/Kilifi Interconnection Pipelines Works</t>
  </si>
  <si>
    <t>Feasibility Studies for Future Deep Ground Water Sources in Tana Delta and Msambweni Boreholes</t>
  </si>
  <si>
    <t>Extension/Construction of Water Supply pipelines in Masalani, Moyale &amp;Rumuruti in NWSB</t>
  </si>
  <si>
    <t>Rehabilitation/Extension of Water Services in Tana River County (Rehab of Bura W/Supply)</t>
  </si>
  <si>
    <t>Construction of Exploratory Deep Boreholes in Tana Delta</t>
  </si>
  <si>
    <t>jan,2015</t>
  </si>
  <si>
    <t>report submitted</t>
  </si>
  <si>
    <t>Environmental management system</t>
  </si>
  <si>
    <t>Board  and strategic leadership  seminar</t>
  </si>
  <si>
    <t>kilaguni</t>
  </si>
  <si>
    <t xml:space="preserve"> Finance for directors  seminar</t>
  </si>
  <si>
    <t>Directors Induction  programme</t>
  </si>
  <si>
    <t>Board and risk management</t>
  </si>
  <si>
    <t>April,2015</t>
  </si>
  <si>
    <t>Leadership course for Africa  Water Utility CEOs s</t>
  </si>
  <si>
    <t>NOV,,2014</t>
  </si>
  <si>
    <t>Managing Directors</t>
  </si>
  <si>
    <t>capetown-S.A</t>
  </si>
  <si>
    <t>Balance</t>
  </si>
  <si>
    <t>Supervision of Hola Lamu WSPs Works-Addendum 3 for 6WSPs Supervision</t>
  </si>
  <si>
    <t>19 months</t>
  </si>
  <si>
    <t>IDA,US $ (Base Cost)</t>
  </si>
  <si>
    <t>Allocations US $</t>
  </si>
  <si>
    <t>5.  SDR exchange rate of 1.38064 of 22nd April 15</t>
  </si>
  <si>
    <t>Cat 6</t>
  </si>
  <si>
    <t>Cat 7</t>
  </si>
  <si>
    <t>SDR</t>
  </si>
  <si>
    <t>Totals</t>
  </si>
  <si>
    <t>10000000 and actual is 2,932,216</t>
  </si>
  <si>
    <t>Signed Finance Agreement</t>
  </si>
  <si>
    <t>Signed Contracts/LPOs</t>
  </si>
  <si>
    <t>Sub Totals</t>
  </si>
  <si>
    <t>Category 7 for CWSB&amp; NWSB Drought Mitigation Activities including 10% unallocated</t>
  </si>
  <si>
    <t>Category 6 for CWSB Works, Goods, Consulancies etc including 10% unallocated</t>
  </si>
  <si>
    <t>10% Unallocated for both Category 6&amp;7</t>
  </si>
  <si>
    <t>Category 6 for CWSB Works, Goods, Consulancies etc excluding 10% unallocated</t>
  </si>
  <si>
    <t>Category 7 for CWSB&amp; NWSB Drought Mitigation Activities excluding 10% unallocated</t>
  </si>
  <si>
    <t>As Per the Project Paper</t>
  </si>
  <si>
    <t>10% GoK Counterpart</t>
  </si>
  <si>
    <t>1) Drilling of Boreholes-Lot 4 only</t>
  </si>
  <si>
    <t>2) Bute Dam Works</t>
  </si>
  <si>
    <t>4) Installation of Plastics</t>
  </si>
  <si>
    <t>3) Water Supplies in Masalani,Moyale &amp;Rumuruti</t>
  </si>
  <si>
    <t>Subtotal 1</t>
  </si>
  <si>
    <t>1) Merti Aquifer Study</t>
  </si>
  <si>
    <t>2) Supervision of Drought works</t>
  </si>
  <si>
    <t>3) Design &amp; Supervision of Bute Dam</t>
  </si>
  <si>
    <t>4) Bute Dam Safety</t>
  </si>
  <si>
    <t>5) Consultancy for EIAs &amp; RAPs</t>
  </si>
  <si>
    <t>Subtotal 2</t>
  </si>
  <si>
    <t>Remarks</t>
  </si>
  <si>
    <t>1) Supply 278 plastic tanks</t>
  </si>
  <si>
    <t>2) Supply of Drought Vehicles</t>
  </si>
  <si>
    <t>3) Supply of portable WTPs</t>
  </si>
  <si>
    <t>Subtotal 3</t>
  </si>
  <si>
    <t>Grand Totals</t>
  </si>
  <si>
    <t>NWSB Allocation</t>
  </si>
  <si>
    <t>Total Commitments/Planning</t>
  </si>
  <si>
    <t>Overdrawn funds by NWSB</t>
  </si>
  <si>
    <t>NWSB</t>
  </si>
  <si>
    <t>CWSB</t>
  </si>
  <si>
    <t>Allocation Ratios as Project paper 10million against 6 million</t>
  </si>
  <si>
    <t xml:space="preserve">Total allocation </t>
  </si>
  <si>
    <t>as per FA</t>
  </si>
  <si>
    <t>18(a2)</t>
  </si>
  <si>
    <t>18(a1)</t>
  </si>
  <si>
    <t>ALLOCATED BUDGET IN USD 700, 000 (Kshs 61,005,000 equivalent)</t>
  </si>
  <si>
    <t>EXCHANGE RATE-Kshs 87.15/USD AS AT 16/08/2013</t>
  </si>
  <si>
    <t>UPDATED ON  16th -April-2015</t>
  </si>
  <si>
    <t>report submitted-9-2-15</t>
  </si>
  <si>
    <t>June,2015</t>
  </si>
  <si>
    <t>Oct,2013</t>
  </si>
  <si>
    <t>may,2015</t>
  </si>
  <si>
    <t>Corruption prevention in public procurement</t>
  </si>
  <si>
    <t>july,2015</t>
  </si>
  <si>
    <t>procurement staff,</t>
  </si>
  <si>
    <t>October ,2015</t>
  </si>
  <si>
    <t>May,2015</t>
  </si>
  <si>
    <t>Feb,,2015</t>
  </si>
  <si>
    <t>July,2015</t>
  </si>
  <si>
    <t>Naivasha</t>
  </si>
  <si>
    <t>International public sector accounting standards</t>
  </si>
  <si>
    <t>Accounts ,Audit staff</t>
  </si>
  <si>
    <t>Conflict management</t>
  </si>
  <si>
    <t>Aug,2015</t>
  </si>
  <si>
    <t xml:space="preserve">HR </t>
  </si>
  <si>
    <t>Kampala</t>
  </si>
  <si>
    <t>report submitted on 9-2-15</t>
  </si>
  <si>
    <t>Management/staff</t>
  </si>
  <si>
    <t>april,2015</t>
  </si>
  <si>
    <t>,FEB,2015</t>
  </si>
  <si>
    <t>Sept,2015</t>
  </si>
  <si>
    <t>Record keeping staff</t>
  </si>
  <si>
    <t xml:space="preserve">Counseling skills at workplace </t>
  </si>
  <si>
    <t>HR managers /officers</t>
  </si>
  <si>
    <t>Finance for non finance managers</t>
  </si>
  <si>
    <t xml:space="preserve">non finance managers </t>
  </si>
  <si>
    <t>MALINDI</t>
  </si>
  <si>
    <t xml:space="preserve">proposal and report writing </t>
  </si>
  <si>
    <t>JULy,2015</t>
  </si>
  <si>
    <t xml:space="preserve">area managers </t>
  </si>
  <si>
    <t>MOMBASA</t>
  </si>
  <si>
    <t>contract management</t>
  </si>
  <si>
    <t>June ,2015</t>
  </si>
  <si>
    <t xml:space="preserve">managers </t>
  </si>
  <si>
    <t xml:space="preserve">Employee relations </t>
  </si>
  <si>
    <t>August,2015</t>
  </si>
  <si>
    <t>Supervisors /mid mgt</t>
  </si>
  <si>
    <t>Developing specifications and Bids evaluation</t>
  </si>
  <si>
    <t>August</t>
  </si>
  <si>
    <t>tender/evaluation commiittees</t>
  </si>
  <si>
    <t>NAIROBI</t>
  </si>
  <si>
    <t>project management</t>
  </si>
  <si>
    <t>sept,2015</t>
  </si>
  <si>
    <t xml:space="preserve">Engineers /managers </t>
  </si>
  <si>
    <t>report submitted 9-2-15</t>
  </si>
  <si>
    <t>Allocated Budget</t>
  </si>
  <si>
    <t>USD (Planned)</t>
  </si>
  <si>
    <t>Kshs(Planned)</t>
  </si>
  <si>
    <t>A) Works</t>
  </si>
  <si>
    <t>B) Consultancies</t>
  </si>
  <si>
    <t>C) Goods</t>
  </si>
  <si>
    <t>NWSB Drought Subcomponent</t>
  </si>
  <si>
    <t>CWSB Drought Subcomponent</t>
  </si>
  <si>
    <t>1) Drilling of Boreholes-Lots 1,2&amp;3 only</t>
  </si>
  <si>
    <t>2) Surface Pressed Steel Tanks</t>
  </si>
  <si>
    <t>3) Nyalani Water Supply</t>
  </si>
  <si>
    <t>4) Tave Lumi Water Supply</t>
  </si>
  <si>
    <t>5) Bura Water Supply</t>
  </si>
  <si>
    <t>6) Installation of Plastics</t>
  </si>
  <si>
    <t>1) Drought Mitigation Study</t>
  </si>
  <si>
    <t>3) Consultancy for EIAs &amp; RAPs</t>
  </si>
  <si>
    <t>4) Supply of Collapsible &amp; Portable Tanks</t>
  </si>
  <si>
    <t>5) Supply of Water Barges/Boats</t>
  </si>
  <si>
    <t>6) Supply of Standby Gensets</t>
  </si>
  <si>
    <t>7) Supply of Submersible Pumps</t>
  </si>
  <si>
    <t>CWSB Allocation</t>
  </si>
  <si>
    <t>Overdrawn funds by CWSB</t>
  </si>
  <si>
    <t>Actuals/Committed US $</t>
  </si>
  <si>
    <t>%</t>
  </si>
  <si>
    <t>6) Consultancy for Drought Mitigation Study (Master Plan)</t>
  </si>
  <si>
    <t>Drought Mitigation Study (Plan) for NWSB region</t>
  </si>
  <si>
    <t>Construction of office block for CWSB</t>
  </si>
  <si>
    <t xml:space="preserve">Extension/Construction of Water Supply pipelines:Lot 1 Nyalani Water Supply for Kwale County </t>
  </si>
  <si>
    <t>Extension/Construction of Water Supply pipelines: Lot 2 Taveta Lumi W/Suppy for T/Taveta County</t>
  </si>
  <si>
    <t>12months</t>
  </si>
  <si>
    <t>Supply and Delivery of Spare Parts for Mobile Water Treatment Units</t>
  </si>
  <si>
    <t>Duration/  Period (Days)</t>
  </si>
  <si>
    <t>HOD's, Engineers and Environmental Unit</t>
  </si>
  <si>
    <t xml:space="preserve"> </t>
  </si>
  <si>
    <t>Supply and Installation of Management Information Systems for 7WSPs and Bulk Water Supply Unit</t>
  </si>
  <si>
    <t>16 months</t>
  </si>
  <si>
    <t>Rehabilitation of Hola Outstanding Works</t>
  </si>
  <si>
    <t>30.5 months</t>
  </si>
  <si>
    <t>Rehabilitation of the Bulk Water Pipeline System including Addendum 2</t>
  </si>
  <si>
    <t>40.5 months</t>
  </si>
  <si>
    <t>56 months</t>
  </si>
  <si>
    <t>35 months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</si>
</sst>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Kshs &quot;#,##0_);\(&quot;Kshs &quot;#,##0\)"/>
    <numFmt numFmtId="179" formatCode="&quot;Kshs &quot;#,##0_);[Red]\(&quot;Kshs &quot;#,##0\)"/>
    <numFmt numFmtId="180" formatCode="&quot;Kshs &quot;#,##0.00_);\(&quot;Kshs &quot;#,##0.00\)"/>
    <numFmt numFmtId="181" formatCode="&quot;Kshs &quot;#,##0.00_);[Red]\(&quot;Kshs &quot;#,##0.00\)"/>
    <numFmt numFmtId="182" formatCode="_(&quot;Kshs &quot;* #,##0_);_(&quot;Kshs &quot;* \(#,##0\);_(&quot;Kshs &quot;* &quot;-&quot;_);_(@_)"/>
    <numFmt numFmtId="183" formatCode="_(&quot;Kshs &quot;* #,##0.00_);_(&quot;Kshs &quot;* \(#,##0.00\);_(&quot;Kshs &quot;* &quot;-&quot;??_);_(@_)"/>
    <numFmt numFmtId="184" formatCode="[$-409]dddd\,\ mmmm\ dd\,\ yyyy"/>
    <numFmt numFmtId="185" formatCode="[$-409]d\-mmm\-yy;@"/>
    <numFmt numFmtId="186" formatCode="_(* #,##0_);_(* \(#,##0\);_(* &quot;-&quot;??_);_(@_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mmm\-yy;@"/>
    <numFmt numFmtId="193" formatCode="#,##0.0"/>
    <numFmt numFmtId="194" formatCode="_(* #,##0.0_);_(* \(#,##0.0\);_(* &quot;-&quot;?_);_(@_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#,##0.000"/>
    <numFmt numFmtId="207" formatCode="mmm/yyyy"/>
    <numFmt numFmtId="208" formatCode="mmm\-yyyy"/>
    <numFmt numFmtId="209" formatCode="[$-809]dd\ mmmm\ yyyy"/>
    <numFmt numFmtId="210" formatCode="_(* #,##0_);_(* \(#,##0\);_(* &quot;-&quot;?_);_(@_)"/>
    <numFmt numFmtId="211" formatCode="[$USD]\ #,##0"/>
    <numFmt numFmtId="212" formatCode="[$-F800]dddd\,\ mmmm\ dd\,\ yyyy"/>
    <numFmt numFmtId="213" formatCode="[$-409]dddd\,\ mmmm\ d\,\ yyyy"/>
    <numFmt numFmtId="214" formatCode="[$-409]dd\-mmm\-yy;@"/>
    <numFmt numFmtId="215" formatCode="_(* #,##0.0000_);_(* \(#,##0.0000\);_(* &quot;-&quot;????_);_(@_)"/>
  </numFmts>
  <fonts count="8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color indexed="10"/>
      <name val="Arial Narrow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Arial Narrow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2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8"/>
      <name val="Palatino Linotype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bscript"/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Palatino Linotype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186" fontId="0" fillId="0" borderId="0" xfId="0" applyNumberFormat="1" applyAlignment="1">
      <alignment/>
    </xf>
    <xf numFmtId="171" fontId="1" fillId="0" borderId="0" xfId="42" applyFont="1" applyAlignment="1">
      <alignment/>
    </xf>
    <xf numFmtId="171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1" fontId="3" fillId="0" borderId="0" xfId="42" applyFont="1" applyFill="1" applyBorder="1" applyAlignment="1">
      <alignment horizontal="center"/>
    </xf>
    <xf numFmtId="171" fontId="0" fillId="0" borderId="0" xfId="42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1" fontId="5" fillId="0" borderId="0" xfId="42" applyFont="1" applyFill="1" applyBorder="1" applyAlignment="1">
      <alignment horizontal="center"/>
    </xf>
    <xf numFmtId="0" fontId="15" fillId="0" borderId="0" xfId="0" applyFont="1" applyAlignment="1">
      <alignment/>
    </xf>
    <xf numFmtId="171" fontId="15" fillId="0" borderId="0" xfId="42" applyFont="1" applyAlignment="1">
      <alignment/>
    </xf>
    <xf numFmtId="186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 vertical="center"/>
    </xf>
    <xf numFmtId="186" fontId="17" fillId="0" borderId="10" xfId="42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5" fontId="17" fillId="0" borderId="10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15" fontId="17" fillId="0" borderId="10" xfId="0" applyNumberFormat="1" applyFont="1" applyBorder="1" applyAlignment="1">
      <alignment horizontal="center" vertical="center"/>
    </xf>
    <xf numFmtId="186" fontId="17" fillId="0" borderId="10" xfId="42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86" fontId="16" fillId="0" borderId="10" xfId="42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/>
    </xf>
    <xf numFmtId="186" fontId="17" fillId="0" borderId="10" xfId="42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5" fontId="17" fillId="0" borderId="10" xfId="0" applyNumberFormat="1" applyFont="1" applyFill="1" applyBorder="1" applyAlignment="1">
      <alignment horizontal="center"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186" fontId="17" fillId="0" borderId="10" xfId="42" applyNumberFormat="1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/>
    </xf>
    <xf numFmtId="15" fontId="17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15" fontId="0" fillId="0" borderId="0" xfId="0" applyNumberFormat="1" applyAlignment="1">
      <alignment/>
    </xf>
    <xf numFmtId="0" fontId="74" fillId="0" borderId="10" xfId="0" applyFont="1" applyFill="1" applyBorder="1" applyAlignment="1">
      <alignment horizontal="right" vertical="center"/>
    </xf>
    <xf numFmtId="186" fontId="74" fillId="0" borderId="10" xfId="42" applyNumberFormat="1" applyFont="1" applyFill="1" applyBorder="1" applyAlignment="1">
      <alignment vertical="center"/>
    </xf>
    <xf numFmtId="15" fontId="74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right" vertical="center"/>
    </xf>
    <xf numFmtId="186" fontId="74" fillId="0" borderId="10" xfId="42" applyNumberFormat="1" applyFont="1" applyBorder="1" applyAlignment="1">
      <alignment vertical="center"/>
    </xf>
    <xf numFmtId="186" fontId="74" fillId="0" borderId="10" xfId="0" applyNumberFormat="1" applyFont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15" fontId="74" fillId="0" borderId="10" xfId="0" applyNumberFormat="1" applyFont="1" applyBorder="1" applyAlignment="1">
      <alignment horizontal="center" vertical="center"/>
    </xf>
    <xf numFmtId="186" fontId="75" fillId="0" borderId="10" xfId="42" applyNumberFormat="1" applyFont="1" applyBorder="1" applyAlignment="1">
      <alignment vertical="center"/>
    </xf>
    <xf numFmtId="0" fontId="74" fillId="0" borderId="10" xfId="0" applyFont="1" applyFill="1" applyBorder="1" applyAlignment="1">
      <alignment horizontal="right"/>
    </xf>
    <xf numFmtId="3" fontId="74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center"/>
    </xf>
    <xf numFmtId="15" fontId="74" fillId="0" borderId="10" xfId="0" applyNumberFormat="1" applyFont="1" applyFill="1" applyBorder="1" applyAlignment="1">
      <alignment horizontal="center"/>
    </xf>
    <xf numFmtId="15" fontId="74" fillId="0" borderId="10" xfId="0" applyNumberFormat="1" applyFont="1" applyBorder="1" applyAlignment="1">
      <alignment horizontal="center"/>
    </xf>
    <xf numFmtId="185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right"/>
    </xf>
    <xf numFmtId="186" fontId="74" fillId="0" borderId="10" xfId="42" applyNumberFormat="1" applyFont="1" applyBorder="1" applyAlignment="1">
      <alignment/>
    </xf>
    <xf numFmtId="3" fontId="74" fillId="0" borderId="10" xfId="0" applyNumberFormat="1" applyFont="1" applyFill="1" applyBorder="1" applyAlignment="1">
      <alignment horizontal="center"/>
    </xf>
    <xf numFmtId="15" fontId="74" fillId="0" borderId="19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5" fontId="3" fillId="0" borderId="19" xfId="0" applyNumberFormat="1" applyFont="1" applyBorder="1" applyAlignment="1">
      <alignment horizontal="center"/>
    </xf>
    <xf numFmtId="15" fontId="76" fillId="0" borderId="10" xfId="0" applyNumberFormat="1" applyFont="1" applyBorder="1" applyAlignment="1">
      <alignment horizontal="center"/>
    </xf>
    <xf numFmtId="15" fontId="7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/>
    </xf>
    <xf numFmtId="171" fontId="17" fillId="0" borderId="0" xfId="42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5" fontId="17" fillId="0" borderId="19" xfId="0" applyNumberFormat="1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15" fontId="74" fillId="33" borderId="10" xfId="0" applyNumberFormat="1" applyFont="1" applyFill="1" applyBorder="1" applyAlignment="1">
      <alignment horizontal="center"/>
    </xf>
    <xf numFmtId="15" fontId="74" fillId="0" borderId="19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right"/>
    </xf>
    <xf numFmtId="2" fontId="21" fillId="0" borderId="0" xfId="0" applyNumberFormat="1" applyFont="1" applyAlignment="1">
      <alignment horizontal="justify"/>
    </xf>
    <xf numFmtId="4" fontId="22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vertical="center"/>
    </xf>
    <xf numFmtId="4" fontId="3" fillId="0" borderId="0" xfId="0" applyNumberFormat="1" applyFont="1" applyFill="1" applyBorder="1" applyAlignment="1">
      <alignment horizontal="center"/>
    </xf>
    <xf numFmtId="186" fontId="74" fillId="0" borderId="10" xfId="42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right"/>
    </xf>
    <xf numFmtId="171" fontId="1" fillId="0" borderId="0" xfId="42" applyFont="1" applyAlignment="1">
      <alignment/>
    </xf>
    <xf numFmtId="171" fontId="17" fillId="0" borderId="0" xfId="42" applyFont="1" applyAlignment="1">
      <alignment/>
    </xf>
    <xf numFmtId="3" fontId="16" fillId="0" borderId="0" xfId="0" applyNumberFormat="1" applyFont="1" applyBorder="1" applyAlignment="1">
      <alignment horizontal="center"/>
    </xf>
    <xf numFmtId="210" fontId="20" fillId="0" borderId="0" xfId="0" applyNumberFormat="1" applyFont="1" applyAlignment="1">
      <alignment/>
    </xf>
    <xf numFmtId="0" fontId="17" fillId="0" borderId="10" xfId="0" applyFont="1" applyFill="1" applyBorder="1" applyAlignment="1">
      <alignment vertical="center"/>
    </xf>
    <xf numFmtId="0" fontId="1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0" fontId="1" fillId="0" borderId="0" xfId="58" applyFont="1" applyBorder="1" applyAlignment="1">
      <alignment horizontal="right"/>
      <protection/>
    </xf>
    <xf numFmtId="0" fontId="1" fillId="0" borderId="0" xfId="58" applyFont="1" applyBorder="1" applyAlignment="1">
      <alignment horizontal="left"/>
      <protection/>
    </xf>
    <xf numFmtId="0" fontId="44" fillId="0" borderId="0" xfId="0" applyFont="1" applyAlignment="1">
      <alignment/>
    </xf>
    <xf numFmtId="0" fontId="6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right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13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1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horizontal="righ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171" fontId="6" fillId="0" borderId="0" xfId="42" applyFont="1" applyAlignment="1">
      <alignment/>
    </xf>
    <xf numFmtId="171" fontId="6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4" fontId="74" fillId="0" borderId="10" xfId="0" applyNumberFormat="1" applyFont="1" applyFill="1" applyBorder="1" applyAlignment="1">
      <alignment horizontal="center" vertical="center"/>
    </xf>
    <xf numFmtId="214" fontId="0" fillId="0" borderId="0" xfId="0" applyNumberFormat="1" applyAlignment="1">
      <alignment/>
    </xf>
    <xf numFmtId="0" fontId="78" fillId="0" borderId="10" xfId="0" applyFont="1" applyBorder="1" applyAlignment="1">
      <alignment/>
    </xf>
    <xf numFmtId="186" fontId="77" fillId="0" borderId="10" xfId="42" applyNumberFormat="1" applyFont="1" applyBorder="1" applyAlignment="1">
      <alignment/>
    </xf>
    <xf numFmtId="186" fontId="77" fillId="0" borderId="10" xfId="42" applyNumberFormat="1" applyFont="1" applyFill="1" applyBorder="1" applyAlignment="1">
      <alignment/>
    </xf>
    <xf numFmtId="186" fontId="78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1" xfId="42" applyNumberFormat="1" applyFont="1" applyBorder="1" applyAlignment="1">
      <alignment/>
    </xf>
    <xf numFmtId="3" fontId="0" fillId="0" borderId="21" xfId="42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1" xfId="42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171" fontId="77" fillId="0" borderId="0" xfId="42" applyFont="1" applyAlignment="1">
      <alignment/>
    </xf>
    <xf numFmtId="171" fontId="79" fillId="0" borderId="0" xfId="42" applyFont="1" applyAlignment="1">
      <alignment/>
    </xf>
    <xf numFmtId="3" fontId="75" fillId="0" borderId="10" xfId="0" applyNumberFormat="1" applyFont="1" applyFill="1" applyBorder="1" applyAlignment="1">
      <alignment horizontal="center"/>
    </xf>
    <xf numFmtId="186" fontId="16" fillId="0" borderId="10" xfId="42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186" fontId="74" fillId="0" borderId="10" xfId="42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171" fontId="1" fillId="0" borderId="0" xfId="42" applyFont="1" applyBorder="1" applyAlignment="1">
      <alignment horizontal="left"/>
    </xf>
    <xf numFmtId="171" fontId="0" fillId="0" borderId="0" xfId="42" applyFont="1" applyBorder="1" applyAlignment="1">
      <alignment horizontal="left"/>
    </xf>
    <xf numFmtId="171" fontId="0" fillId="0" borderId="0" xfId="42" applyFont="1" applyAlignment="1">
      <alignment/>
    </xf>
    <xf numFmtId="171" fontId="20" fillId="0" borderId="10" xfId="42" applyFont="1" applyBorder="1" applyAlignment="1">
      <alignment horizontal="left"/>
    </xf>
    <xf numFmtId="171" fontId="20" fillId="0" borderId="0" xfId="42" applyFont="1" applyBorder="1" applyAlignment="1">
      <alignment horizontal="left"/>
    </xf>
    <xf numFmtId="171" fontId="20" fillId="0" borderId="0" xfId="42" applyFont="1" applyBorder="1" applyAlignment="1">
      <alignment horizontal="left" vertical="center" wrapText="1"/>
    </xf>
    <xf numFmtId="171" fontId="44" fillId="0" borderId="0" xfId="42" applyFont="1" applyAlignment="1">
      <alignment/>
    </xf>
    <xf numFmtId="171" fontId="78" fillId="0" borderId="0" xfId="0" applyNumberFormat="1" applyFont="1" applyAlignment="1">
      <alignment horizontal="left"/>
    </xf>
    <xf numFmtId="171" fontId="75" fillId="0" borderId="14" xfId="42" applyNumberFormat="1" applyFont="1" applyBorder="1" applyAlignment="1">
      <alignment/>
    </xf>
    <xf numFmtId="3" fontId="6" fillId="34" borderId="0" xfId="0" applyNumberFormat="1" applyFont="1" applyFill="1" applyBorder="1" applyAlignment="1">
      <alignment/>
    </xf>
    <xf numFmtId="186" fontId="78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86" fontId="0" fillId="0" borderId="0" xfId="42" applyNumberFormat="1" applyFont="1" applyAlignment="1">
      <alignment/>
    </xf>
    <xf numFmtId="186" fontId="0" fillId="0" borderId="0" xfId="42" applyNumberFormat="1" applyFont="1" applyAlignment="1">
      <alignment/>
    </xf>
    <xf numFmtId="186" fontId="6" fillId="0" borderId="0" xfId="42" applyNumberFormat="1" applyFont="1" applyAlignment="1">
      <alignment/>
    </xf>
    <xf numFmtId="186" fontId="77" fillId="0" borderId="0" xfId="42" applyNumberFormat="1" applyFont="1" applyAlignment="1">
      <alignment/>
    </xf>
    <xf numFmtId="186" fontId="78" fillId="0" borderId="0" xfId="42" applyNumberFormat="1" applyFont="1" applyAlignment="1">
      <alignment/>
    </xf>
    <xf numFmtId="186" fontId="7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1" fontId="16" fillId="0" borderId="14" xfId="42" applyNumberFormat="1" applyFont="1" applyBorder="1" applyAlignment="1">
      <alignment/>
    </xf>
    <xf numFmtId="0" fontId="1" fillId="0" borderId="0" xfId="58" applyFont="1" applyBorder="1" applyAlignment="1">
      <alignment horizontal="left" vertical="center"/>
      <protection/>
    </xf>
    <xf numFmtId="171" fontId="1" fillId="0" borderId="0" xfId="42" applyFont="1" applyBorder="1" applyAlignment="1">
      <alignment horizontal="left" vertical="center" wrapText="1"/>
    </xf>
    <xf numFmtId="164" fontId="1" fillId="0" borderId="0" xfId="44" applyFont="1" applyBorder="1" applyAlignment="1">
      <alignment horizontal="center" vertical="center" wrapText="1"/>
    </xf>
    <xf numFmtId="0" fontId="1" fillId="0" borderId="0" xfId="58" applyFont="1" applyBorder="1" applyAlignment="1">
      <alignment horizontal="right" vertical="center" wrapText="1"/>
      <protection/>
    </xf>
    <xf numFmtId="0" fontId="1" fillId="0" borderId="0" xfId="58" applyFont="1" applyBorder="1" applyAlignment="1">
      <alignment horizontal="left" vertical="center" wrapText="1"/>
      <protection/>
    </xf>
    <xf numFmtId="0" fontId="80" fillId="0" borderId="10" xfId="58" applyFont="1" applyBorder="1" applyAlignment="1">
      <alignment vertical="center"/>
      <protection/>
    </xf>
    <xf numFmtId="0" fontId="81" fillId="0" borderId="10" xfId="58" applyFont="1" applyBorder="1" applyAlignment="1">
      <alignment horizontal="center" vertical="center"/>
      <protection/>
    </xf>
    <xf numFmtId="0" fontId="81" fillId="0" borderId="10" xfId="58" applyFont="1" applyBorder="1" applyAlignment="1">
      <alignment horizontal="center" vertical="center" wrapText="1"/>
      <protection/>
    </xf>
    <xf numFmtId="0" fontId="81" fillId="0" borderId="10" xfId="58" applyFont="1" applyBorder="1" applyAlignment="1">
      <alignment horizontal="right" vertical="center" wrapText="1"/>
      <protection/>
    </xf>
    <xf numFmtId="0" fontId="81" fillId="0" borderId="10" xfId="58" applyFont="1" applyBorder="1" applyAlignment="1">
      <alignment horizontal="left" vertical="center" wrapText="1"/>
      <protection/>
    </xf>
    <xf numFmtId="0" fontId="80" fillId="0" borderId="10" xfId="58" applyFont="1" applyBorder="1" applyAlignment="1">
      <alignment horizontal="left" vertical="center"/>
      <protection/>
    </xf>
    <xf numFmtId="0" fontId="80" fillId="0" borderId="10" xfId="58" applyFont="1" applyBorder="1" applyAlignment="1">
      <alignment horizontal="right" vertical="center" wrapText="1"/>
      <protection/>
    </xf>
    <xf numFmtId="17" fontId="80" fillId="0" borderId="10" xfId="58" applyNumberFormat="1" applyFont="1" applyBorder="1" applyAlignment="1">
      <alignment horizontal="left" vertical="center" wrapText="1"/>
      <protection/>
    </xf>
    <xf numFmtId="0" fontId="80" fillId="0" borderId="10" xfId="58" applyFont="1" applyBorder="1" applyAlignment="1">
      <alignment horizontal="left" vertical="center" wrapText="1"/>
      <protection/>
    </xf>
    <xf numFmtId="0" fontId="80" fillId="0" borderId="24" xfId="58" applyFont="1" applyBorder="1" applyAlignment="1">
      <alignment horizontal="left" vertical="center" wrapText="1"/>
      <protection/>
    </xf>
    <xf numFmtId="0" fontId="80" fillId="0" borderId="21" xfId="58" applyFont="1" applyBorder="1" applyAlignment="1">
      <alignment horizontal="left" vertical="center" wrapText="1"/>
      <protection/>
    </xf>
    <xf numFmtId="0" fontId="80" fillId="0" borderId="10" xfId="58" applyFont="1" applyBorder="1" applyAlignment="1">
      <alignment vertical="top" wrapText="1"/>
      <protection/>
    </xf>
    <xf numFmtId="0" fontId="80" fillId="0" borderId="10" xfId="58" applyFont="1" applyBorder="1" applyAlignment="1">
      <alignment horizontal="right"/>
      <protection/>
    </xf>
    <xf numFmtId="0" fontId="80" fillId="0" borderId="10" xfId="58" applyFont="1" applyBorder="1" applyAlignment="1">
      <alignment horizontal="left"/>
      <protection/>
    </xf>
    <xf numFmtId="0" fontId="80" fillId="0" borderId="24" xfId="58" applyFont="1" applyBorder="1" applyAlignment="1">
      <alignment horizontal="left"/>
      <protection/>
    </xf>
    <xf numFmtId="0" fontId="80" fillId="0" borderId="21" xfId="58" applyFont="1" applyBorder="1" applyAlignment="1">
      <alignment horizontal="left"/>
      <protection/>
    </xf>
    <xf numFmtId="0" fontId="80" fillId="0" borderId="10" xfId="58" applyFont="1" applyFill="1" applyBorder="1" applyAlignment="1">
      <alignment vertical="top" wrapText="1"/>
      <protection/>
    </xf>
    <xf numFmtId="0" fontId="80" fillId="0" borderId="10" xfId="58" applyFont="1" applyFill="1" applyBorder="1" applyAlignment="1">
      <alignment horizontal="right" vertical="center"/>
      <protection/>
    </xf>
    <xf numFmtId="0" fontId="80" fillId="0" borderId="10" xfId="58" applyFont="1" applyFill="1" applyBorder="1" applyAlignment="1">
      <alignment horizontal="left" vertical="center"/>
      <protection/>
    </xf>
    <xf numFmtId="0" fontId="80" fillId="0" borderId="10" xfId="58" applyFont="1" applyFill="1" applyBorder="1" applyAlignment="1">
      <alignment horizontal="left"/>
      <protection/>
    </xf>
    <xf numFmtId="0" fontId="80" fillId="0" borderId="24" xfId="58" applyFont="1" applyFill="1" applyBorder="1" applyAlignment="1">
      <alignment vertical="center"/>
      <protection/>
    </xf>
    <xf numFmtId="0" fontId="80" fillId="0" borderId="21" xfId="58" applyFont="1" applyFill="1" applyBorder="1" applyAlignment="1">
      <alignment vertical="center"/>
      <protection/>
    </xf>
    <xf numFmtId="0" fontId="80" fillId="0" borderId="10" xfId="58" applyFont="1" applyFill="1" applyBorder="1" applyAlignment="1">
      <alignment horizontal="right"/>
      <protection/>
    </xf>
    <xf numFmtId="0" fontId="80" fillId="0" borderId="24" xfId="58" applyFont="1" applyFill="1" applyBorder="1" applyAlignment="1">
      <alignment horizontal="left"/>
      <protection/>
    </xf>
    <xf numFmtId="0" fontId="80" fillId="0" borderId="21" xfId="58" applyFont="1" applyFill="1" applyBorder="1" applyAlignment="1">
      <alignment horizontal="left"/>
      <protection/>
    </xf>
    <xf numFmtId="0" fontId="80" fillId="0" borderId="10" xfId="58" applyFont="1" applyBorder="1">
      <alignment/>
      <protection/>
    </xf>
    <xf numFmtId="0" fontId="80" fillId="0" borderId="10" xfId="58" applyFont="1" applyFill="1" applyBorder="1">
      <alignment/>
      <protection/>
    </xf>
    <xf numFmtId="0" fontId="80" fillId="0" borderId="24" xfId="58" applyFont="1" applyBorder="1">
      <alignment/>
      <protection/>
    </xf>
    <xf numFmtId="0" fontId="80" fillId="0" borderId="21" xfId="58" applyFont="1" applyBorder="1">
      <alignment/>
      <protection/>
    </xf>
    <xf numFmtId="17" fontId="80" fillId="0" borderId="10" xfId="58" applyNumberFormat="1" applyFont="1" applyBorder="1" applyAlignment="1">
      <alignment horizontal="left"/>
      <protection/>
    </xf>
    <xf numFmtId="0" fontId="81" fillId="0" borderId="10" xfId="58" applyFont="1" applyBorder="1">
      <alignment/>
      <protection/>
    </xf>
    <xf numFmtId="3" fontId="80" fillId="0" borderId="10" xfId="58" applyNumberFormat="1" applyFont="1" applyBorder="1" applyAlignment="1">
      <alignment horizontal="left"/>
      <protection/>
    </xf>
    <xf numFmtId="0" fontId="80" fillId="0" borderId="15" xfId="58" applyFont="1" applyBorder="1" applyAlignment="1">
      <alignment vertical="center"/>
      <protection/>
    </xf>
    <xf numFmtId="0" fontId="80" fillId="0" borderId="15" xfId="58" applyFont="1" applyBorder="1">
      <alignment/>
      <protection/>
    </xf>
    <xf numFmtId="0" fontId="80" fillId="0" borderId="15" xfId="58" applyFont="1" applyBorder="1" applyAlignment="1">
      <alignment horizontal="left"/>
      <protection/>
    </xf>
    <xf numFmtId="0" fontId="80" fillId="0" borderId="25" xfId="58" applyFont="1" applyBorder="1" applyAlignment="1">
      <alignment horizontal="left"/>
      <protection/>
    </xf>
    <xf numFmtId="0" fontId="82" fillId="0" borderId="10" xfId="58" applyFont="1" applyBorder="1" applyAlignment="1">
      <alignment horizontal="left"/>
      <protection/>
    </xf>
    <xf numFmtId="0" fontId="80" fillId="0" borderId="15" xfId="58" applyFont="1" applyBorder="1" applyAlignment="1">
      <alignment horizontal="right"/>
      <protection/>
    </xf>
    <xf numFmtId="0" fontId="80" fillId="0" borderId="23" xfId="58" applyFont="1" applyBorder="1">
      <alignment/>
      <protection/>
    </xf>
    <xf numFmtId="0" fontId="80" fillId="0" borderId="25" xfId="58" applyFont="1" applyBorder="1">
      <alignment/>
      <protection/>
    </xf>
    <xf numFmtId="0" fontId="83" fillId="0" borderId="0" xfId="58" applyFont="1">
      <alignment/>
      <protection/>
    </xf>
    <xf numFmtId="0" fontId="81" fillId="0" borderId="0" xfId="58" applyFont="1" applyBorder="1">
      <alignment/>
      <protection/>
    </xf>
    <xf numFmtId="164" fontId="80" fillId="0" borderId="0" xfId="44" applyFont="1" applyBorder="1" applyAlignment="1">
      <alignment/>
    </xf>
    <xf numFmtId="0" fontId="83" fillId="0" borderId="0" xfId="58" applyFont="1" applyBorder="1">
      <alignment/>
      <protection/>
    </xf>
    <xf numFmtId="0" fontId="81" fillId="0" borderId="14" xfId="58" applyFont="1" applyBorder="1">
      <alignment/>
      <protection/>
    </xf>
    <xf numFmtId="0" fontId="80" fillId="0" borderId="21" xfId="58" applyFont="1" applyBorder="1" applyAlignment="1">
      <alignment vertical="top" wrapText="1"/>
      <protection/>
    </xf>
    <xf numFmtId="0" fontId="80" fillId="0" borderId="14" xfId="58" applyFont="1" applyBorder="1" applyAlignment="1">
      <alignment vertical="top" wrapText="1"/>
      <protection/>
    </xf>
    <xf numFmtId="0" fontId="80" fillId="0" borderId="14" xfId="58" applyFont="1" applyBorder="1" applyAlignment="1">
      <alignment horizontal="right"/>
      <protection/>
    </xf>
    <xf numFmtId="0" fontId="80" fillId="0" borderId="14" xfId="58" applyFont="1" applyBorder="1" applyAlignment="1">
      <alignment horizontal="left"/>
      <protection/>
    </xf>
    <xf numFmtId="0" fontId="80" fillId="0" borderId="14" xfId="58" applyFont="1" applyBorder="1">
      <alignment/>
      <protection/>
    </xf>
    <xf numFmtId="0" fontId="80" fillId="0" borderId="26" xfId="58" applyFont="1" applyBorder="1">
      <alignment/>
      <protection/>
    </xf>
    <xf numFmtId="0" fontId="80" fillId="0" borderId="0" xfId="58" applyFont="1" applyBorder="1">
      <alignment/>
      <protection/>
    </xf>
    <xf numFmtId="0" fontId="80" fillId="0" borderId="10" xfId="58" applyFont="1" applyBorder="1" applyAlignment="1">
      <alignment vertical="top"/>
      <protection/>
    </xf>
    <xf numFmtId="0" fontId="80" fillId="33" borderId="10" xfId="58" applyFont="1" applyFill="1" applyBorder="1" applyAlignment="1">
      <alignment horizontal="left" wrapText="1"/>
      <protection/>
    </xf>
    <xf numFmtId="0" fontId="84" fillId="0" borderId="10" xfId="58" applyFont="1" applyBorder="1">
      <alignment/>
      <protection/>
    </xf>
    <xf numFmtId="0" fontId="85" fillId="0" borderId="10" xfId="58" applyFont="1" applyBorder="1">
      <alignment/>
      <protection/>
    </xf>
    <xf numFmtId="0" fontId="85" fillId="0" borderId="10" xfId="58" applyFont="1" applyBorder="1" applyAlignment="1">
      <alignment horizontal="right"/>
      <protection/>
    </xf>
    <xf numFmtId="0" fontId="85" fillId="0" borderId="10" xfId="58" applyFont="1" applyBorder="1" applyAlignment="1">
      <alignment horizontal="left"/>
      <protection/>
    </xf>
    <xf numFmtId="0" fontId="86" fillId="0" borderId="10" xfId="58" applyFont="1" applyBorder="1">
      <alignment/>
      <protection/>
    </xf>
    <xf numFmtId="171" fontId="81" fillId="0" borderId="10" xfId="42" applyFont="1" applyBorder="1" applyAlignment="1">
      <alignment horizontal="left"/>
    </xf>
    <xf numFmtId="171" fontId="87" fillId="0" borderId="10" xfId="42" applyFont="1" applyBorder="1" applyAlignment="1">
      <alignment horizontal="left"/>
    </xf>
    <xf numFmtId="0" fontId="80" fillId="0" borderId="25" xfId="58" applyFont="1" applyBorder="1" applyAlignment="1">
      <alignment horizontal="left" vertical="center" wrapText="1"/>
      <protection/>
    </xf>
    <xf numFmtId="164" fontId="81" fillId="0" borderId="10" xfId="44" applyFont="1" applyBorder="1" applyAlignment="1">
      <alignment horizontal="center" vertical="center" wrapText="1"/>
    </xf>
    <xf numFmtId="0" fontId="83" fillId="0" borderId="10" xfId="58" applyFont="1" applyBorder="1">
      <alignment/>
      <protection/>
    </xf>
    <xf numFmtId="0" fontId="80" fillId="0" borderId="0" xfId="58" applyFont="1" applyBorder="1" applyAlignment="1">
      <alignment horizontal="left" vertical="center" wrapText="1"/>
      <protection/>
    </xf>
    <xf numFmtId="0" fontId="81" fillId="0" borderId="10" xfId="58" applyFont="1" applyBorder="1" applyAlignment="1">
      <alignment vertical="center"/>
      <protection/>
    </xf>
    <xf numFmtId="0" fontId="72" fillId="0" borderId="0" xfId="0" applyFont="1" applyAlignment="1">
      <alignment/>
    </xf>
    <xf numFmtId="171" fontId="72" fillId="0" borderId="0" xfId="42" applyFont="1" applyAlignment="1">
      <alignment/>
    </xf>
    <xf numFmtId="171" fontId="81" fillId="0" borderId="10" xfId="42" applyFont="1" applyBorder="1" applyAlignment="1">
      <alignment horizontal="left" vertical="center" wrapText="1"/>
    </xf>
    <xf numFmtId="171" fontId="80" fillId="0" borderId="10" xfId="42" applyFont="1" applyBorder="1" applyAlignment="1">
      <alignment horizontal="left" vertical="center" wrapText="1"/>
    </xf>
    <xf numFmtId="171" fontId="80" fillId="0" borderId="10" xfId="42" applyFont="1" applyBorder="1" applyAlignment="1">
      <alignment horizontal="left"/>
    </xf>
    <xf numFmtId="171" fontId="80" fillId="0" borderId="10" xfId="42" applyFont="1" applyFill="1" applyBorder="1" applyAlignment="1">
      <alignment horizontal="left"/>
    </xf>
    <xf numFmtId="171" fontId="80" fillId="0" borderId="15" xfId="42" applyFont="1" applyBorder="1" applyAlignment="1">
      <alignment horizontal="left"/>
    </xf>
    <xf numFmtId="171" fontId="81" fillId="0" borderId="0" xfId="42" applyFont="1" applyBorder="1" applyAlignment="1">
      <alignment horizontal="left"/>
    </xf>
    <xf numFmtId="171" fontId="81" fillId="0" borderId="0" xfId="42" applyFont="1" applyBorder="1" applyAlignment="1">
      <alignment horizontal="left" vertical="center" wrapText="1"/>
    </xf>
    <xf numFmtId="171" fontId="80" fillId="0" borderId="0" xfId="42" applyFont="1" applyBorder="1" applyAlignment="1">
      <alignment horizontal="left"/>
    </xf>
    <xf numFmtId="171" fontId="80" fillId="0" borderId="10" xfId="42" applyFont="1" applyBorder="1" applyAlignment="1">
      <alignment horizontal="left" vertical="top" wrapText="1"/>
    </xf>
    <xf numFmtId="171" fontId="80" fillId="0" borderId="14" xfId="42" applyFont="1" applyBorder="1" applyAlignment="1">
      <alignment horizontal="left"/>
    </xf>
    <xf numFmtId="171" fontId="86" fillId="0" borderId="10" xfId="42" applyFont="1" applyBorder="1" applyAlignment="1">
      <alignment horizontal="left"/>
    </xf>
    <xf numFmtId="0" fontId="87" fillId="0" borderId="10" xfId="58" applyFont="1" applyBorder="1" applyAlignment="1">
      <alignment horizontal="center" vertical="center" wrapText="1"/>
      <protection/>
    </xf>
    <xf numFmtId="164" fontId="84" fillId="0" borderId="10" xfId="44" applyFont="1" applyBorder="1" applyAlignment="1">
      <alignment horizontal="center" vertical="center" wrapText="1"/>
    </xf>
    <xf numFmtId="164" fontId="84" fillId="0" borderId="10" xfId="44" applyFont="1" applyBorder="1" applyAlignment="1">
      <alignment/>
    </xf>
    <xf numFmtId="164" fontId="84" fillId="0" borderId="10" xfId="44" applyFont="1" applyFill="1" applyBorder="1" applyAlignment="1">
      <alignment vertical="center"/>
    </xf>
    <xf numFmtId="164" fontId="84" fillId="0" borderId="10" xfId="44" applyFont="1" applyFill="1" applyBorder="1" applyAlignment="1">
      <alignment/>
    </xf>
    <xf numFmtId="164" fontId="84" fillId="0" borderId="15" xfId="44" applyFont="1" applyBorder="1" applyAlignment="1">
      <alignment/>
    </xf>
    <xf numFmtId="0" fontId="84" fillId="0" borderId="10" xfId="58" applyFont="1" applyBorder="1" applyAlignment="1">
      <alignment vertical="top" wrapText="1"/>
      <protection/>
    </xf>
    <xf numFmtId="164" fontId="84" fillId="0" borderId="14" xfId="44" applyFont="1" applyBorder="1" applyAlignment="1">
      <alignment/>
    </xf>
    <xf numFmtId="164" fontId="88" fillId="0" borderId="10" xfId="44" applyFont="1" applyBorder="1" applyAlignment="1">
      <alignment/>
    </xf>
    <xf numFmtId="0" fontId="0" fillId="35" borderId="0" xfId="0" applyFill="1" applyAlignment="1">
      <alignment/>
    </xf>
    <xf numFmtId="186" fontId="77" fillId="0" borderId="0" xfId="42" applyNumberFormat="1" applyFont="1" applyFill="1" applyAlignment="1">
      <alignment/>
    </xf>
    <xf numFmtId="186" fontId="0" fillId="0" borderId="0" xfId="42" applyNumberFormat="1" applyFont="1" applyFill="1" applyAlignment="1">
      <alignment/>
    </xf>
    <xf numFmtId="0" fontId="78" fillId="0" borderId="0" xfId="0" applyFont="1" applyAlignment="1">
      <alignment/>
    </xf>
    <xf numFmtId="171" fontId="74" fillId="0" borderId="10" xfId="42" applyFont="1" applyBorder="1" applyAlignment="1">
      <alignment horizontal="center"/>
    </xf>
    <xf numFmtId="0" fontId="16" fillId="0" borderId="17" xfId="0" applyFont="1" applyBorder="1" applyAlignment="1" applyProtection="1">
      <alignment vertical="center" wrapText="1"/>
      <protection locked="0"/>
    </xf>
    <xf numFmtId="0" fontId="17" fillId="0" borderId="14" xfId="0" applyFont="1" applyBorder="1" applyAlignment="1">
      <alignment vertical="center" wrapText="1"/>
    </xf>
    <xf numFmtId="0" fontId="74" fillId="0" borderId="14" xfId="0" applyFont="1" applyFill="1" applyBorder="1" applyAlignment="1">
      <alignment horizontal="right"/>
    </xf>
    <xf numFmtId="186" fontId="74" fillId="0" borderId="14" xfId="42" applyNumberFormat="1" applyFont="1" applyBorder="1" applyAlignment="1">
      <alignment/>
    </xf>
    <xf numFmtId="186" fontId="17" fillId="0" borderId="14" xfId="42" applyNumberFormat="1" applyFont="1" applyBorder="1" applyAlignment="1">
      <alignment/>
    </xf>
    <xf numFmtId="15" fontId="17" fillId="0" borderId="0" xfId="0" applyNumberFormat="1" applyFont="1" applyAlignment="1">
      <alignment/>
    </xf>
    <xf numFmtId="15" fontId="74" fillId="33" borderId="10" xfId="0" applyNumberFormat="1" applyFont="1" applyFill="1" applyBorder="1" applyAlignment="1">
      <alignment horizontal="center" vertical="center"/>
    </xf>
    <xf numFmtId="186" fontId="74" fillId="0" borderId="10" xfId="42" applyNumberFormat="1" applyFont="1" applyFill="1" applyBorder="1" applyAlignment="1">
      <alignment horizontal="center" vertical="center"/>
    </xf>
    <xf numFmtId="186" fontId="74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71" fontId="0" fillId="35" borderId="0" xfId="0" applyNumberFormat="1" applyFill="1" applyAlignment="1">
      <alignment/>
    </xf>
    <xf numFmtId="171" fontId="80" fillId="35" borderId="10" xfId="42" applyFont="1" applyFill="1" applyBorder="1" applyAlignment="1">
      <alignment horizontal="left" vertical="center" wrapText="1"/>
    </xf>
    <xf numFmtId="0" fontId="80" fillId="35" borderId="10" xfId="58" applyFont="1" applyFill="1" applyBorder="1" applyAlignment="1">
      <alignment vertical="center"/>
      <protection/>
    </xf>
    <xf numFmtId="0" fontId="80" fillId="35" borderId="10" xfId="58" applyFont="1" applyFill="1" applyBorder="1" applyAlignment="1">
      <alignment vertical="top" wrapText="1"/>
      <protection/>
    </xf>
    <xf numFmtId="171" fontId="80" fillId="35" borderId="10" xfId="42" applyFont="1" applyFill="1" applyBorder="1" applyAlignment="1">
      <alignment horizontal="left"/>
    </xf>
    <xf numFmtId="0" fontId="17" fillId="33" borderId="10" xfId="0" applyFont="1" applyFill="1" applyBorder="1" applyAlignment="1">
      <alignment horizontal="right" vertical="center"/>
    </xf>
    <xf numFmtId="186" fontId="17" fillId="33" borderId="10" xfId="42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5" fontId="17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right" vertical="center"/>
    </xf>
    <xf numFmtId="186" fontId="74" fillId="33" borderId="10" xfId="42" applyNumberFormat="1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/>
    </xf>
    <xf numFmtId="14" fontId="74" fillId="33" borderId="10" xfId="0" applyNumberFormat="1" applyFont="1" applyFill="1" applyBorder="1" applyAlignment="1">
      <alignment horizontal="center" vertical="center"/>
    </xf>
    <xf numFmtId="164" fontId="84" fillId="35" borderId="10" xfId="44" applyFont="1" applyFill="1" applyBorder="1" applyAlignment="1">
      <alignment/>
    </xf>
    <xf numFmtId="0" fontId="80" fillId="35" borderId="10" xfId="58" applyFont="1" applyFill="1" applyBorder="1" applyAlignment="1">
      <alignment horizontal="right"/>
      <protection/>
    </xf>
    <xf numFmtId="0" fontId="80" fillId="35" borderId="10" xfId="58" applyFont="1" applyFill="1" applyBorder="1" applyAlignment="1">
      <alignment horizontal="left"/>
      <protection/>
    </xf>
    <xf numFmtId="0" fontId="80" fillId="35" borderId="24" xfId="58" applyFont="1" applyFill="1" applyBorder="1" applyAlignment="1">
      <alignment horizontal="left"/>
      <protection/>
    </xf>
    <xf numFmtId="0" fontId="80" fillId="35" borderId="21" xfId="58" applyFont="1" applyFill="1" applyBorder="1">
      <alignment/>
      <protection/>
    </xf>
    <xf numFmtId="0" fontId="74" fillId="35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 vertical="center"/>
    </xf>
    <xf numFmtId="15" fontId="74" fillId="35" borderId="10" xfId="0" applyNumberFormat="1" applyFont="1" applyFill="1" applyBorder="1" applyAlignment="1">
      <alignment horizontal="center"/>
    </xf>
    <xf numFmtId="15" fontId="17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3" fontId="17" fillId="35" borderId="10" xfId="0" applyNumberFormat="1" applyFont="1" applyFill="1" applyBorder="1" applyAlignment="1">
      <alignment horizontal="center"/>
    </xf>
    <xf numFmtId="15" fontId="17" fillId="35" borderId="19" xfId="0" applyNumberFormat="1" applyFont="1" applyFill="1" applyBorder="1" applyAlignment="1">
      <alignment horizontal="center"/>
    </xf>
    <xf numFmtId="3" fontId="74" fillId="35" borderId="10" xfId="0" applyNumberFormat="1" applyFont="1" applyFill="1" applyBorder="1" applyAlignment="1">
      <alignment horizontal="center"/>
    </xf>
    <xf numFmtId="15" fontId="74" fillId="35" borderId="19" xfId="0" applyNumberFormat="1" applyFont="1" applyFill="1" applyBorder="1" applyAlignment="1">
      <alignment horizontal="center"/>
    </xf>
    <xf numFmtId="15" fontId="76" fillId="35" borderId="19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 vertical="center"/>
    </xf>
    <xf numFmtId="186" fontId="74" fillId="0" borderId="10" xfId="42" applyNumberFormat="1" applyFont="1" applyFill="1" applyBorder="1" applyAlignment="1">
      <alignment horizontal="left" vertical="center"/>
    </xf>
    <xf numFmtId="186" fontId="74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186" fontId="74" fillId="33" borderId="10" xfId="42" applyNumberFormat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15" fontId="74" fillId="3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PageLayoutView="0" workbookViewId="0" topLeftCell="A5">
      <pane xSplit="2" ySplit="7" topLeftCell="C12" activePane="bottomRight" state="frozen"/>
      <selection pane="topLeft" activeCell="A5" sqref="A5"/>
      <selection pane="topRight" activeCell="D5" sqref="D5"/>
      <selection pane="bottomLeft" activeCell="A8" sqref="A8"/>
      <selection pane="bottomRight" activeCell="P20" sqref="P20"/>
    </sheetView>
  </sheetViews>
  <sheetFormatPr defaultColWidth="9.140625" defaultRowHeight="12.75"/>
  <cols>
    <col min="1" max="1" width="7.421875" style="0" customWidth="1"/>
    <col min="2" max="2" width="25.140625" style="0" customWidth="1"/>
    <col min="3" max="3" width="7.28125" style="0" customWidth="1"/>
    <col min="4" max="4" width="12.28125" style="0" customWidth="1"/>
    <col min="5" max="5" width="11.7109375" style="0" customWidth="1"/>
    <col min="6" max="6" width="12.00390625" style="0" customWidth="1"/>
    <col min="7" max="7" width="10.8515625" style="0" customWidth="1"/>
    <col min="8" max="8" width="13.140625" style="0" customWidth="1"/>
    <col min="9" max="9" width="11.421875" style="0" customWidth="1"/>
    <col min="10" max="10" width="11.140625" style="18" customWidth="1"/>
    <col min="11" max="11" width="11.28125" style="0" customWidth="1"/>
    <col min="12" max="12" width="11.57421875" style="0" customWidth="1"/>
    <col min="13" max="13" width="10.7109375" style="0" customWidth="1"/>
    <col min="14" max="14" width="9.8515625" style="0" customWidth="1"/>
    <col min="15" max="16" width="11.00390625" style="0" customWidth="1"/>
  </cols>
  <sheetData>
    <row r="1" spans="2:4" ht="12.75">
      <c r="B1" s="12"/>
      <c r="D1" s="12"/>
    </row>
    <row r="2" spans="1:16" ht="15">
      <c r="A2" s="395" t="s">
        <v>35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6" ht="15">
      <c r="A3" s="396" t="s">
        <v>32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16" ht="15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</row>
    <row r="5" spans="1:16" ht="15">
      <c r="A5" s="61"/>
      <c r="B5" s="205"/>
      <c r="C5" s="400" t="s">
        <v>35</v>
      </c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1:16" ht="13.5">
      <c r="A6" s="61"/>
      <c r="B6" s="151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</row>
    <row r="7" spans="1:16" ht="12.75">
      <c r="A7" s="61"/>
      <c r="B7" s="150"/>
      <c r="C7" s="400" t="s">
        <v>64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</row>
    <row r="8" spans="1:16" ht="13.5" thickBot="1">
      <c r="A8" s="61"/>
      <c r="B8" s="142"/>
      <c r="C8" s="62"/>
      <c r="D8" s="62"/>
      <c r="E8" s="62"/>
      <c r="F8" s="62"/>
      <c r="G8" s="62"/>
      <c r="H8" s="62"/>
      <c r="I8" s="62"/>
      <c r="J8" s="64"/>
      <c r="K8" s="62"/>
      <c r="L8" s="62"/>
      <c r="M8" s="62"/>
      <c r="N8" s="62"/>
      <c r="O8" s="62"/>
      <c r="P8" s="62"/>
    </row>
    <row r="9" spans="1:16" ht="12.75" customHeight="1" thickTop="1">
      <c r="A9" s="398" t="s">
        <v>17</v>
      </c>
      <c r="B9" s="393" t="s">
        <v>1</v>
      </c>
      <c r="C9" s="393" t="s">
        <v>19</v>
      </c>
      <c r="D9" s="393" t="s">
        <v>29</v>
      </c>
      <c r="E9" s="393" t="s">
        <v>7</v>
      </c>
      <c r="F9" s="393" t="s">
        <v>53</v>
      </c>
      <c r="G9" s="393" t="s">
        <v>74</v>
      </c>
      <c r="H9" s="393" t="s">
        <v>75</v>
      </c>
      <c r="I9" s="393" t="s">
        <v>15</v>
      </c>
      <c r="J9" s="401" t="s">
        <v>24</v>
      </c>
      <c r="K9" s="393" t="s">
        <v>16</v>
      </c>
      <c r="L9" s="393" t="s">
        <v>92</v>
      </c>
      <c r="M9" s="393" t="s">
        <v>91</v>
      </c>
      <c r="N9" s="393" t="s">
        <v>23</v>
      </c>
      <c r="O9" s="393" t="s">
        <v>22</v>
      </c>
      <c r="P9" s="393" t="s">
        <v>76</v>
      </c>
    </row>
    <row r="10" spans="1:16" ht="6.75" customHeight="1" hidden="1" thickBot="1">
      <c r="A10" s="399"/>
      <c r="B10" s="394"/>
      <c r="C10" s="394"/>
      <c r="D10" s="394"/>
      <c r="E10" s="394"/>
      <c r="F10" s="394"/>
      <c r="G10" s="394"/>
      <c r="H10" s="394"/>
      <c r="I10" s="394"/>
      <c r="J10" s="402"/>
      <c r="K10" s="394"/>
      <c r="L10" s="394"/>
      <c r="M10" s="394"/>
      <c r="N10" s="394"/>
      <c r="O10" s="394"/>
      <c r="P10" s="394"/>
    </row>
    <row r="11" spans="1:16" ht="49.5" customHeight="1">
      <c r="A11" s="399"/>
      <c r="B11" s="394"/>
      <c r="C11" s="394"/>
      <c r="D11" s="394"/>
      <c r="E11" s="394"/>
      <c r="F11" s="394"/>
      <c r="G11" s="394"/>
      <c r="H11" s="394"/>
      <c r="I11" s="394"/>
      <c r="J11" s="402"/>
      <c r="K11" s="394"/>
      <c r="L11" s="394"/>
      <c r="M11" s="394"/>
      <c r="N11" s="394"/>
      <c r="O11" s="394"/>
      <c r="P11" s="394"/>
    </row>
    <row r="12" spans="1:16" ht="12.75">
      <c r="A12" s="68"/>
      <c r="B12" s="69"/>
      <c r="C12" s="69"/>
      <c r="D12" s="69"/>
      <c r="E12" s="69"/>
      <c r="F12" s="69"/>
      <c r="G12" s="69"/>
      <c r="H12" s="69"/>
      <c r="I12" s="69"/>
      <c r="J12" s="70"/>
      <c r="K12" s="69"/>
      <c r="L12" s="69"/>
      <c r="M12" s="69"/>
      <c r="N12" s="69"/>
      <c r="O12" s="69"/>
      <c r="P12" s="69"/>
    </row>
    <row r="13" spans="1:16" s="18" customFormat="1" ht="34.5" customHeight="1">
      <c r="A13" s="389" t="s">
        <v>117</v>
      </c>
      <c r="B13" s="392" t="s">
        <v>120</v>
      </c>
      <c r="C13" s="71" t="s">
        <v>4</v>
      </c>
      <c r="D13" s="72">
        <v>6800000</v>
      </c>
      <c r="E13" s="73" t="s">
        <v>13</v>
      </c>
      <c r="F13" s="141" t="s">
        <v>51</v>
      </c>
      <c r="G13" s="74" t="s">
        <v>49</v>
      </c>
      <c r="H13" s="74" t="s">
        <v>49</v>
      </c>
      <c r="I13" s="74">
        <v>42282</v>
      </c>
      <c r="J13" s="343">
        <v>42308</v>
      </c>
      <c r="K13" s="74" t="s">
        <v>49</v>
      </c>
      <c r="L13" s="74" t="s">
        <v>49</v>
      </c>
      <c r="M13" s="74" t="s">
        <v>49</v>
      </c>
      <c r="N13" s="74">
        <f>I13+105</f>
        <v>42387</v>
      </c>
      <c r="O13" s="74" t="s">
        <v>49</v>
      </c>
      <c r="P13" s="74" t="s">
        <v>27</v>
      </c>
    </row>
    <row r="14" spans="1:16" ht="30" customHeight="1">
      <c r="A14" s="389"/>
      <c r="B14" s="392"/>
      <c r="C14" s="113" t="s">
        <v>5</v>
      </c>
      <c r="D14" s="114">
        <v>5408061.5</v>
      </c>
      <c r="E14" s="114" t="s">
        <v>13</v>
      </c>
      <c r="F14" s="377" t="s">
        <v>51</v>
      </c>
      <c r="G14" s="115" t="s">
        <v>49</v>
      </c>
      <c r="H14" s="115" t="s">
        <v>49</v>
      </c>
      <c r="I14" s="344">
        <v>42215</v>
      </c>
      <c r="J14" s="344">
        <v>42258</v>
      </c>
      <c r="K14" s="115" t="s">
        <v>49</v>
      </c>
      <c r="L14" s="115" t="s">
        <v>49</v>
      </c>
      <c r="M14" s="116" t="s">
        <v>49</v>
      </c>
      <c r="N14" s="183"/>
      <c r="O14" s="183" t="s">
        <v>49</v>
      </c>
      <c r="P14" s="116"/>
    </row>
    <row r="15" spans="1:16" s="347" customFormat="1" ht="20.25" customHeight="1">
      <c r="A15" s="404" t="s">
        <v>118</v>
      </c>
      <c r="B15" s="403" t="s">
        <v>279</v>
      </c>
      <c r="C15" s="353" t="s">
        <v>4</v>
      </c>
      <c r="D15" s="354">
        <v>8000000</v>
      </c>
      <c r="E15" s="355" t="s">
        <v>13</v>
      </c>
      <c r="F15" s="381" t="s">
        <v>51</v>
      </c>
      <c r="G15" s="356" t="s">
        <v>49</v>
      </c>
      <c r="H15" s="356" t="s">
        <v>49</v>
      </c>
      <c r="I15" s="356">
        <v>42186</v>
      </c>
      <c r="J15" s="356">
        <f>I15+56</f>
        <v>42242</v>
      </c>
      <c r="K15" s="356" t="s">
        <v>49</v>
      </c>
      <c r="L15" s="356" t="s">
        <v>49</v>
      </c>
      <c r="M15" s="356" t="s">
        <v>49</v>
      </c>
      <c r="N15" s="356">
        <f>I15+105</f>
        <v>42291</v>
      </c>
      <c r="O15" s="356" t="s">
        <v>49</v>
      </c>
      <c r="P15" s="356" t="s">
        <v>66</v>
      </c>
    </row>
    <row r="16" spans="1:16" s="347" customFormat="1" ht="21" customHeight="1">
      <c r="A16" s="404"/>
      <c r="B16" s="403"/>
      <c r="C16" s="357" t="s">
        <v>5</v>
      </c>
      <c r="D16" s="358"/>
      <c r="E16" s="358"/>
      <c r="F16" s="382"/>
      <c r="G16" s="344"/>
      <c r="H16" s="344"/>
      <c r="I16" s="344"/>
      <c r="J16" s="344"/>
      <c r="K16" s="344"/>
      <c r="L16" s="344"/>
      <c r="M16" s="359"/>
      <c r="N16" s="360"/>
      <c r="O16" s="360"/>
      <c r="P16" s="359"/>
    </row>
    <row r="17" spans="1:16" ht="27" customHeight="1">
      <c r="A17" s="389" t="s">
        <v>119</v>
      </c>
      <c r="B17" s="392" t="s">
        <v>280</v>
      </c>
      <c r="C17" s="71" t="s">
        <v>4</v>
      </c>
      <c r="D17" s="72">
        <v>28000000</v>
      </c>
      <c r="E17" s="73" t="s">
        <v>20</v>
      </c>
      <c r="F17" s="141" t="s">
        <v>52</v>
      </c>
      <c r="G17" s="74">
        <v>42245</v>
      </c>
      <c r="H17" s="74">
        <f>G17+28</f>
        <v>42273</v>
      </c>
      <c r="I17" s="74">
        <f>H17+7</f>
        <v>42280</v>
      </c>
      <c r="J17" s="74">
        <f>I17+56</f>
        <v>42336</v>
      </c>
      <c r="K17" s="74">
        <f>+J17+7</f>
        <v>42343</v>
      </c>
      <c r="L17" s="74">
        <f>+K17+14</f>
        <v>42357</v>
      </c>
      <c r="M17" s="74">
        <f>+L17+14</f>
        <v>42371</v>
      </c>
      <c r="N17" s="74">
        <f>+M17+14</f>
        <v>42385</v>
      </c>
      <c r="O17" s="74">
        <f>+N17+7</f>
        <v>42392</v>
      </c>
      <c r="P17" s="74" t="s">
        <v>66</v>
      </c>
    </row>
    <row r="18" spans="1:16" ht="27" customHeight="1">
      <c r="A18" s="389"/>
      <c r="B18" s="392"/>
      <c r="C18" s="113" t="s">
        <v>5</v>
      </c>
      <c r="D18" s="114"/>
      <c r="E18" s="345" t="s">
        <v>20</v>
      </c>
      <c r="F18" s="377" t="s">
        <v>52</v>
      </c>
      <c r="G18" s="115">
        <v>42164</v>
      </c>
      <c r="H18" s="344">
        <v>42223</v>
      </c>
      <c r="I18" s="344">
        <v>42243</v>
      </c>
      <c r="J18" s="344">
        <v>42304</v>
      </c>
      <c r="K18" s="344">
        <v>42305</v>
      </c>
      <c r="L18" s="115"/>
      <c r="M18" s="116"/>
      <c r="N18" s="116"/>
      <c r="O18" s="116"/>
      <c r="P18" s="116"/>
    </row>
    <row r="19" spans="1:16" ht="13.5" customHeight="1">
      <c r="A19" s="389">
        <v>5</v>
      </c>
      <c r="B19" s="392" t="s">
        <v>434</v>
      </c>
      <c r="C19" s="71" t="s">
        <v>4</v>
      </c>
      <c r="D19" s="72">
        <v>3600000</v>
      </c>
      <c r="E19" s="73" t="s">
        <v>13</v>
      </c>
      <c r="F19" s="141" t="s">
        <v>51</v>
      </c>
      <c r="G19" s="74" t="s">
        <v>49</v>
      </c>
      <c r="H19" s="74" t="s">
        <v>49</v>
      </c>
      <c r="I19" s="74">
        <v>41140</v>
      </c>
      <c r="J19" s="74">
        <f>I19+30</f>
        <v>41170</v>
      </c>
      <c r="K19" s="74" t="s">
        <v>49</v>
      </c>
      <c r="L19" s="74" t="s">
        <v>49</v>
      </c>
      <c r="M19" s="74" t="s">
        <v>49</v>
      </c>
      <c r="N19" s="78">
        <f>J19+21</f>
        <v>41191</v>
      </c>
      <c r="O19" s="74" t="s">
        <v>49</v>
      </c>
      <c r="P19" s="74" t="s">
        <v>88</v>
      </c>
    </row>
    <row r="20" spans="1:16" ht="23.25" customHeight="1">
      <c r="A20" s="389"/>
      <c r="B20" s="392"/>
      <c r="C20" s="113" t="s">
        <v>5</v>
      </c>
      <c r="D20" s="114">
        <v>5961113</v>
      </c>
      <c r="E20" s="116" t="s">
        <v>13</v>
      </c>
      <c r="F20" s="376" t="s">
        <v>51</v>
      </c>
      <c r="G20" s="115" t="s">
        <v>49</v>
      </c>
      <c r="H20" s="115" t="s">
        <v>49</v>
      </c>
      <c r="I20" s="115">
        <v>41150</v>
      </c>
      <c r="J20" s="115">
        <v>41194</v>
      </c>
      <c r="K20" s="115" t="s">
        <v>49</v>
      </c>
      <c r="L20" s="115" t="s">
        <v>49</v>
      </c>
      <c r="M20" s="116" t="s">
        <v>49</v>
      </c>
      <c r="N20" s="451">
        <v>42429</v>
      </c>
      <c r="O20" s="116" t="s">
        <v>49</v>
      </c>
      <c r="P20" s="451" t="s">
        <v>437</v>
      </c>
    </row>
    <row r="21" spans="1:16" ht="13.5" customHeight="1">
      <c r="A21" s="389">
        <v>8</v>
      </c>
      <c r="B21" s="392" t="s">
        <v>422</v>
      </c>
      <c r="C21" s="71" t="s">
        <v>4</v>
      </c>
      <c r="D21" s="72">
        <f>850000+250000</f>
        <v>1100000</v>
      </c>
      <c r="E21" s="73" t="s">
        <v>13</v>
      </c>
      <c r="F21" s="141" t="s">
        <v>51</v>
      </c>
      <c r="G21" s="74" t="s">
        <v>49</v>
      </c>
      <c r="H21" s="74" t="s">
        <v>49</v>
      </c>
      <c r="I21" s="74">
        <v>42233</v>
      </c>
      <c r="J21" s="74">
        <f>I21+30</f>
        <v>42263</v>
      </c>
      <c r="K21" s="74" t="s">
        <v>49</v>
      </c>
      <c r="L21" s="74" t="s">
        <v>49</v>
      </c>
      <c r="M21" s="74" t="s">
        <v>49</v>
      </c>
      <c r="N21" s="74">
        <f>J21+21</f>
        <v>42284</v>
      </c>
      <c r="O21" s="74" t="s">
        <v>49</v>
      </c>
      <c r="P21" s="74" t="s">
        <v>21</v>
      </c>
    </row>
    <row r="22" spans="1:16" ht="13.5" customHeight="1">
      <c r="A22" s="389"/>
      <c r="B22" s="392"/>
      <c r="C22" s="113" t="s">
        <v>5</v>
      </c>
      <c r="D22" s="114"/>
      <c r="E22" s="383"/>
      <c r="F22" s="376"/>
      <c r="G22" s="116"/>
      <c r="H22" s="116"/>
      <c r="I22" s="115"/>
      <c r="J22" s="115"/>
      <c r="K22" s="116"/>
      <c r="L22" s="116"/>
      <c r="M22" s="116"/>
      <c r="N22" s="116"/>
      <c r="O22" s="116"/>
      <c r="P22" s="116"/>
    </row>
    <row r="23" spans="1:16" ht="15" customHeight="1">
      <c r="A23" s="389">
        <v>9</v>
      </c>
      <c r="B23" s="392" t="s">
        <v>84</v>
      </c>
      <c r="C23" s="71" t="s">
        <v>4</v>
      </c>
      <c r="D23" s="72">
        <v>200000</v>
      </c>
      <c r="E23" s="73" t="s">
        <v>13</v>
      </c>
      <c r="F23" s="141" t="s">
        <v>51</v>
      </c>
      <c r="G23" s="74" t="s">
        <v>49</v>
      </c>
      <c r="H23" s="74" t="s">
        <v>49</v>
      </c>
      <c r="I23" s="74">
        <v>41150</v>
      </c>
      <c r="J23" s="74">
        <f>I23+30</f>
        <v>41180</v>
      </c>
      <c r="K23" s="74" t="s">
        <v>49</v>
      </c>
      <c r="L23" s="74" t="s">
        <v>49</v>
      </c>
      <c r="M23" s="74" t="s">
        <v>49</v>
      </c>
      <c r="N23" s="74">
        <f>J23+21</f>
        <v>41201</v>
      </c>
      <c r="O23" s="74" t="s">
        <v>49</v>
      </c>
      <c r="P23" s="74" t="s">
        <v>54</v>
      </c>
    </row>
    <row r="24" spans="1:16" ht="15" customHeight="1">
      <c r="A24" s="389"/>
      <c r="B24" s="392"/>
      <c r="C24" s="113" t="s">
        <v>5</v>
      </c>
      <c r="D24" s="114">
        <v>174767</v>
      </c>
      <c r="E24" s="116" t="s">
        <v>13</v>
      </c>
      <c r="F24" s="376" t="s">
        <v>51</v>
      </c>
      <c r="G24" s="115" t="s">
        <v>49</v>
      </c>
      <c r="H24" s="115" t="s">
        <v>49</v>
      </c>
      <c r="I24" s="115">
        <v>41108</v>
      </c>
      <c r="J24" s="115">
        <v>41136</v>
      </c>
      <c r="K24" s="115" t="s">
        <v>49</v>
      </c>
      <c r="L24" s="115" t="s">
        <v>49</v>
      </c>
      <c r="M24" s="115" t="s">
        <v>49</v>
      </c>
      <c r="N24" s="115">
        <v>41333</v>
      </c>
      <c r="O24" s="116" t="s">
        <v>49</v>
      </c>
      <c r="P24" s="115" t="s">
        <v>235</v>
      </c>
    </row>
    <row r="25" spans="1:16" ht="15" customHeight="1">
      <c r="A25" s="389">
        <v>10</v>
      </c>
      <c r="B25" s="390" t="s">
        <v>85</v>
      </c>
      <c r="C25" s="71" t="s">
        <v>4</v>
      </c>
      <c r="D25" s="72">
        <v>4450000</v>
      </c>
      <c r="E25" s="73" t="s">
        <v>13</v>
      </c>
      <c r="F25" s="141" t="s">
        <v>51</v>
      </c>
      <c r="G25" s="74" t="s">
        <v>49</v>
      </c>
      <c r="H25" s="74" t="s">
        <v>49</v>
      </c>
      <c r="I25" s="74">
        <v>42338</v>
      </c>
      <c r="J25" s="74">
        <f>I25+30</f>
        <v>42368</v>
      </c>
      <c r="K25" s="74" t="s">
        <v>49</v>
      </c>
      <c r="L25" s="74" t="s">
        <v>49</v>
      </c>
      <c r="M25" s="74" t="s">
        <v>49</v>
      </c>
      <c r="N25" s="74">
        <v>42312</v>
      </c>
      <c r="O25" s="74" t="s">
        <v>49</v>
      </c>
      <c r="P25" s="74" t="s">
        <v>21</v>
      </c>
    </row>
    <row r="26" spans="1:16" ht="15" customHeight="1">
      <c r="A26" s="389"/>
      <c r="B26" s="391"/>
      <c r="C26" s="113" t="s">
        <v>5</v>
      </c>
      <c r="D26" s="114"/>
      <c r="E26" s="114"/>
      <c r="F26" s="377"/>
      <c r="G26" s="115"/>
      <c r="H26" s="115"/>
      <c r="I26" s="115"/>
      <c r="J26" s="115"/>
      <c r="K26" s="115"/>
      <c r="L26" s="115"/>
      <c r="M26" s="116"/>
      <c r="N26" s="116"/>
      <c r="O26" s="116"/>
      <c r="P26" s="116"/>
    </row>
    <row r="27" spans="1:16" ht="15" customHeight="1">
      <c r="A27" s="389">
        <v>12</v>
      </c>
      <c r="B27" s="390" t="s">
        <v>121</v>
      </c>
      <c r="C27" s="71" t="s">
        <v>4</v>
      </c>
      <c r="D27" s="72">
        <v>6000000</v>
      </c>
      <c r="E27" s="73" t="s">
        <v>13</v>
      </c>
      <c r="F27" s="141" t="s">
        <v>51</v>
      </c>
      <c r="G27" s="74" t="s">
        <v>49</v>
      </c>
      <c r="H27" s="74" t="s">
        <v>49</v>
      </c>
      <c r="I27" s="74">
        <v>41763</v>
      </c>
      <c r="J27" s="74">
        <f>I27+56</f>
        <v>41819</v>
      </c>
      <c r="K27" s="74" t="s">
        <v>49</v>
      </c>
      <c r="L27" s="74" t="s">
        <v>49</v>
      </c>
      <c r="M27" s="74" t="s">
        <v>49</v>
      </c>
      <c r="N27" s="74">
        <v>41855</v>
      </c>
      <c r="O27" s="74" t="s">
        <v>49</v>
      </c>
      <c r="P27" s="74" t="s">
        <v>21</v>
      </c>
    </row>
    <row r="28" spans="1:16" ht="29.25" customHeight="1">
      <c r="A28" s="389"/>
      <c r="B28" s="391"/>
      <c r="C28" s="113" t="s">
        <v>5</v>
      </c>
      <c r="D28" s="114">
        <v>11490323</v>
      </c>
      <c r="E28" s="114" t="s">
        <v>13</v>
      </c>
      <c r="F28" s="377" t="s">
        <v>51</v>
      </c>
      <c r="G28" s="115" t="s">
        <v>49</v>
      </c>
      <c r="H28" s="115" t="s">
        <v>49</v>
      </c>
      <c r="I28" s="115">
        <v>41794</v>
      </c>
      <c r="J28" s="115">
        <v>41836</v>
      </c>
      <c r="K28" s="115" t="s">
        <v>49</v>
      </c>
      <c r="L28" s="115" t="s">
        <v>49</v>
      </c>
      <c r="M28" s="116" t="s">
        <v>49</v>
      </c>
      <c r="N28" s="115">
        <v>41906</v>
      </c>
      <c r="O28" s="116" t="s">
        <v>49</v>
      </c>
      <c r="P28" s="116" t="s">
        <v>27</v>
      </c>
    </row>
    <row r="29" spans="1:16" ht="46.5" customHeight="1">
      <c r="A29" s="389">
        <v>14</v>
      </c>
      <c r="B29" s="388" t="s">
        <v>105</v>
      </c>
      <c r="C29" s="76" t="s">
        <v>4</v>
      </c>
      <c r="D29" s="79">
        <v>3000000</v>
      </c>
      <c r="E29" s="73" t="s">
        <v>13</v>
      </c>
      <c r="F29" s="141" t="s">
        <v>51</v>
      </c>
      <c r="G29" s="74" t="s">
        <v>49</v>
      </c>
      <c r="H29" s="74" t="s">
        <v>49</v>
      </c>
      <c r="I29" s="74">
        <v>41674</v>
      </c>
      <c r="J29" s="74">
        <v>41674</v>
      </c>
      <c r="K29" s="74" t="s">
        <v>49</v>
      </c>
      <c r="L29" s="74" t="s">
        <v>49</v>
      </c>
      <c r="M29" s="74" t="s">
        <v>49</v>
      </c>
      <c r="N29" s="74">
        <v>41794</v>
      </c>
      <c r="O29" s="74">
        <f>N29+7</f>
        <v>41801</v>
      </c>
      <c r="P29" s="78" t="s">
        <v>54</v>
      </c>
    </row>
    <row r="30" spans="1:16" ht="61.5" customHeight="1">
      <c r="A30" s="389"/>
      <c r="B30" s="388"/>
      <c r="C30" s="117" t="s">
        <v>5</v>
      </c>
      <c r="D30" s="118">
        <v>3475230</v>
      </c>
      <c r="E30" s="119" t="s">
        <v>13</v>
      </c>
      <c r="F30" s="378" t="s">
        <v>51</v>
      </c>
      <c r="G30" s="120" t="s">
        <v>49</v>
      </c>
      <c r="H30" s="120" t="s">
        <v>49</v>
      </c>
      <c r="I30" s="115">
        <v>41701</v>
      </c>
      <c r="J30" s="115">
        <f>I30+30</f>
        <v>41731</v>
      </c>
      <c r="K30" s="120" t="s">
        <v>49</v>
      </c>
      <c r="L30" s="120" t="s">
        <v>49</v>
      </c>
      <c r="M30" s="120" t="s">
        <v>49</v>
      </c>
      <c r="N30" s="115">
        <v>41829</v>
      </c>
      <c r="O30" s="120" t="s">
        <v>49</v>
      </c>
      <c r="P30" s="120" t="s">
        <v>21</v>
      </c>
    </row>
    <row r="31" spans="1:16" ht="21.75" customHeight="1">
      <c r="A31" s="389">
        <v>16</v>
      </c>
      <c r="B31" s="388" t="s">
        <v>223</v>
      </c>
      <c r="C31" s="76" t="s">
        <v>4</v>
      </c>
      <c r="D31" s="79">
        <v>700000</v>
      </c>
      <c r="E31" s="77" t="s">
        <v>13</v>
      </c>
      <c r="F31" s="141" t="s">
        <v>51</v>
      </c>
      <c r="G31" s="74" t="s">
        <v>49</v>
      </c>
      <c r="H31" s="74" t="s">
        <v>49</v>
      </c>
      <c r="I31" s="74">
        <v>41608</v>
      </c>
      <c r="J31" s="74">
        <f>+I31+28</f>
        <v>41636</v>
      </c>
      <c r="K31" s="74" t="s">
        <v>49</v>
      </c>
      <c r="L31" s="74" t="s">
        <v>49</v>
      </c>
      <c r="M31" s="74" t="s">
        <v>49</v>
      </c>
      <c r="N31" s="74">
        <f>J31+21</f>
        <v>41657</v>
      </c>
      <c r="O31" s="78" t="s">
        <v>49</v>
      </c>
      <c r="P31" s="78" t="s">
        <v>26</v>
      </c>
    </row>
    <row r="32" spans="1:16" ht="21.75" customHeight="1">
      <c r="A32" s="389"/>
      <c r="B32" s="388"/>
      <c r="C32" s="117" t="s">
        <v>5</v>
      </c>
      <c r="D32" s="118">
        <v>841428</v>
      </c>
      <c r="E32" s="346" t="s">
        <v>13</v>
      </c>
      <c r="F32" s="378" t="s">
        <v>51</v>
      </c>
      <c r="G32" s="116" t="s">
        <v>49</v>
      </c>
      <c r="H32" s="120" t="s">
        <v>49</v>
      </c>
      <c r="I32" s="115">
        <v>41596</v>
      </c>
      <c r="J32" s="115">
        <v>41625</v>
      </c>
      <c r="K32" s="115" t="s">
        <v>49</v>
      </c>
      <c r="L32" s="115" t="s">
        <v>49</v>
      </c>
      <c r="M32" s="115" t="s">
        <v>49</v>
      </c>
      <c r="N32" s="115">
        <v>41729</v>
      </c>
      <c r="O32" s="120" t="s">
        <v>49</v>
      </c>
      <c r="P32" s="120" t="s">
        <v>21</v>
      </c>
    </row>
    <row r="33" spans="1:16" s="18" customFormat="1" ht="13.5" customHeight="1">
      <c r="A33" s="389">
        <v>17</v>
      </c>
      <c r="B33" s="388" t="s">
        <v>115</v>
      </c>
      <c r="C33" s="71" t="s">
        <v>4</v>
      </c>
      <c r="D33" s="72">
        <v>1200000</v>
      </c>
      <c r="E33" s="73" t="s">
        <v>13</v>
      </c>
      <c r="F33" s="141" t="s">
        <v>51</v>
      </c>
      <c r="G33" s="74" t="s">
        <v>49</v>
      </c>
      <c r="H33" s="74" t="s">
        <v>49</v>
      </c>
      <c r="I33" s="74">
        <v>42230</v>
      </c>
      <c r="J33" s="74">
        <f>+I33+28</f>
        <v>42258</v>
      </c>
      <c r="K33" s="74" t="s">
        <v>49</v>
      </c>
      <c r="L33" s="74" t="s">
        <v>49</v>
      </c>
      <c r="M33" s="74" t="s">
        <v>49</v>
      </c>
      <c r="N33" s="74">
        <f>J33+21</f>
        <v>42279</v>
      </c>
      <c r="O33" s="74" t="s">
        <v>49</v>
      </c>
      <c r="P33" s="74" t="s">
        <v>27</v>
      </c>
    </row>
    <row r="34" spans="1:16" ht="17.25" customHeight="1">
      <c r="A34" s="389"/>
      <c r="B34" s="388"/>
      <c r="C34" s="113" t="s">
        <v>5</v>
      </c>
      <c r="D34" s="114"/>
      <c r="E34" s="383"/>
      <c r="F34" s="37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6" ht="23.25" customHeight="1">
      <c r="A35" s="389" t="s">
        <v>345</v>
      </c>
      <c r="B35" s="392" t="s">
        <v>423</v>
      </c>
      <c r="C35" s="76" t="s">
        <v>4</v>
      </c>
      <c r="D35" s="72">
        <v>1000000</v>
      </c>
      <c r="E35" s="77" t="s">
        <v>13</v>
      </c>
      <c r="F35" s="379" t="s">
        <v>51</v>
      </c>
      <c r="G35" s="74" t="s">
        <v>49</v>
      </c>
      <c r="H35" s="74" t="s">
        <v>49</v>
      </c>
      <c r="I35" s="74">
        <v>42262</v>
      </c>
      <c r="J35" s="74">
        <f>+I35+28</f>
        <v>42290</v>
      </c>
      <c r="K35" s="74" t="s">
        <v>49</v>
      </c>
      <c r="L35" s="74" t="s">
        <v>49</v>
      </c>
      <c r="M35" s="74" t="s">
        <v>49</v>
      </c>
      <c r="N35" s="74">
        <f>J35+21</f>
        <v>42311</v>
      </c>
      <c r="O35" s="78" t="s">
        <v>49</v>
      </c>
      <c r="P35" s="78" t="s">
        <v>54</v>
      </c>
    </row>
    <row r="36" spans="1:16" ht="33" customHeight="1">
      <c r="A36" s="389"/>
      <c r="B36" s="392"/>
      <c r="C36" s="117" t="s">
        <v>5</v>
      </c>
      <c r="D36" s="114"/>
      <c r="E36" s="120" t="s">
        <v>13</v>
      </c>
      <c r="F36" s="380" t="s">
        <v>51</v>
      </c>
      <c r="G36" s="120" t="s">
        <v>49</v>
      </c>
      <c r="H36" s="120" t="s">
        <v>49</v>
      </c>
      <c r="I36" s="115">
        <v>42235</v>
      </c>
      <c r="J36" s="115">
        <f>I36+41</f>
        <v>42276</v>
      </c>
      <c r="K36" s="120" t="s">
        <v>49</v>
      </c>
      <c r="L36" s="120" t="s">
        <v>49</v>
      </c>
      <c r="M36" s="120" t="s">
        <v>49</v>
      </c>
      <c r="N36" s="120"/>
      <c r="O36" s="120"/>
      <c r="P36" s="120" t="s">
        <v>21</v>
      </c>
    </row>
    <row r="37" spans="1:16" ht="27.75" customHeight="1">
      <c r="A37" s="384" t="s">
        <v>344</v>
      </c>
      <c r="B37" s="405" t="s">
        <v>424</v>
      </c>
      <c r="C37" s="76" t="s">
        <v>4</v>
      </c>
      <c r="D37" s="72">
        <v>1000000</v>
      </c>
      <c r="E37" s="77" t="s">
        <v>13</v>
      </c>
      <c r="F37" s="379" t="s">
        <v>51</v>
      </c>
      <c r="G37" s="76" t="s">
        <v>49</v>
      </c>
      <c r="H37" s="76" t="s">
        <v>49</v>
      </c>
      <c r="I37" s="74">
        <v>42188</v>
      </c>
      <c r="J37" s="74">
        <f>+I37+28</f>
        <v>42216</v>
      </c>
      <c r="K37" s="74" t="s">
        <v>49</v>
      </c>
      <c r="L37" s="74" t="s">
        <v>49</v>
      </c>
      <c r="M37" s="74" t="s">
        <v>49</v>
      </c>
      <c r="N37" s="74">
        <f>J37+21</f>
        <v>42237</v>
      </c>
      <c r="O37" s="78" t="s">
        <v>49</v>
      </c>
      <c r="P37" s="78" t="s">
        <v>54</v>
      </c>
    </row>
    <row r="38" spans="1:16" ht="27" customHeight="1">
      <c r="A38" s="385"/>
      <c r="B38" s="406"/>
      <c r="C38" s="117" t="s">
        <v>5</v>
      </c>
      <c r="D38" s="114"/>
      <c r="E38" s="120" t="s">
        <v>13</v>
      </c>
      <c r="F38" s="380" t="s">
        <v>51</v>
      </c>
      <c r="G38" s="120" t="s">
        <v>49</v>
      </c>
      <c r="H38" s="120" t="s">
        <v>49</v>
      </c>
      <c r="I38" s="115">
        <v>42186</v>
      </c>
      <c r="J38" s="115">
        <f>I38+30</f>
        <v>42216</v>
      </c>
      <c r="K38" s="120" t="s">
        <v>49</v>
      </c>
      <c r="L38" s="120" t="s">
        <v>49</v>
      </c>
      <c r="M38" s="120" t="s">
        <v>49</v>
      </c>
      <c r="N38" s="120"/>
      <c r="O38" s="120"/>
      <c r="P38" s="120" t="s">
        <v>21</v>
      </c>
    </row>
    <row r="39" spans="1:16" ht="13.5" customHeight="1">
      <c r="A39" s="389" t="s">
        <v>216</v>
      </c>
      <c r="B39" s="392" t="s">
        <v>282</v>
      </c>
      <c r="C39" s="76" t="s">
        <v>4</v>
      </c>
      <c r="D39" s="79">
        <v>1500000</v>
      </c>
      <c r="E39" s="77" t="s">
        <v>13</v>
      </c>
      <c r="F39" s="379" t="s">
        <v>51</v>
      </c>
      <c r="G39" s="74" t="s">
        <v>49</v>
      </c>
      <c r="H39" s="74" t="s">
        <v>49</v>
      </c>
      <c r="I39" s="74">
        <v>42053</v>
      </c>
      <c r="J39" s="74">
        <f>+I39+28</f>
        <v>42081</v>
      </c>
      <c r="K39" s="74" t="s">
        <v>49</v>
      </c>
      <c r="L39" s="74" t="s">
        <v>49</v>
      </c>
      <c r="M39" s="74" t="s">
        <v>49</v>
      </c>
      <c r="N39" s="74">
        <f>J39+21</f>
        <v>42102</v>
      </c>
      <c r="O39" s="78" t="s">
        <v>49</v>
      </c>
      <c r="P39" s="78" t="s">
        <v>54</v>
      </c>
    </row>
    <row r="40" spans="1:16" ht="40.5" customHeight="1">
      <c r="A40" s="389"/>
      <c r="B40" s="392"/>
      <c r="C40" s="117" t="s">
        <v>5</v>
      </c>
      <c r="D40" s="114"/>
      <c r="E40" s="120" t="s">
        <v>13</v>
      </c>
      <c r="F40" s="380" t="s">
        <v>51</v>
      </c>
      <c r="G40" s="115" t="s">
        <v>49</v>
      </c>
      <c r="H40" s="115" t="s">
        <v>49</v>
      </c>
      <c r="I40" s="115">
        <v>42048</v>
      </c>
      <c r="J40" s="115">
        <v>42079</v>
      </c>
      <c r="K40" s="120" t="s">
        <v>49</v>
      </c>
      <c r="L40" s="120" t="s">
        <v>49</v>
      </c>
      <c r="M40" s="120" t="s">
        <v>49</v>
      </c>
      <c r="N40" s="115">
        <v>42209</v>
      </c>
      <c r="O40" s="120" t="s">
        <v>49</v>
      </c>
      <c r="P40" s="120" t="s">
        <v>21</v>
      </c>
    </row>
    <row r="41" spans="1:16" ht="21" customHeight="1">
      <c r="A41" s="389" t="s">
        <v>217</v>
      </c>
      <c r="B41" s="392" t="s">
        <v>220</v>
      </c>
      <c r="C41" s="76" t="s">
        <v>4</v>
      </c>
      <c r="D41" s="79">
        <v>200000</v>
      </c>
      <c r="E41" s="77" t="s">
        <v>13</v>
      </c>
      <c r="F41" s="379" t="s">
        <v>51</v>
      </c>
      <c r="G41" s="74" t="s">
        <v>49</v>
      </c>
      <c r="H41" s="74" t="s">
        <v>49</v>
      </c>
      <c r="I41" s="74">
        <v>41695</v>
      </c>
      <c r="J41" s="74">
        <f>+I41+28</f>
        <v>41723</v>
      </c>
      <c r="K41" s="74" t="s">
        <v>49</v>
      </c>
      <c r="L41" s="74" t="s">
        <v>49</v>
      </c>
      <c r="M41" s="74" t="s">
        <v>49</v>
      </c>
      <c r="N41" s="74">
        <f>J41+21</f>
        <v>41744</v>
      </c>
      <c r="O41" s="78" t="s">
        <v>49</v>
      </c>
      <c r="P41" s="78" t="s">
        <v>54</v>
      </c>
    </row>
    <row r="42" spans="1:16" ht="21" customHeight="1">
      <c r="A42" s="389"/>
      <c r="B42" s="392"/>
      <c r="C42" s="117" t="s">
        <v>5</v>
      </c>
      <c r="D42" s="118">
        <v>489280</v>
      </c>
      <c r="E42" s="120" t="s">
        <v>13</v>
      </c>
      <c r="F42" s="380" t="s">
        <v>51</v>
      </c>
      <c r="G42" s="120" t="s">
        <v>49</v>
      </c>
      <c r="H42" s="120" t="s">
        <v>49</v>
      </c>
      <c r="I42" s="115">
        <v>41708</v>
      </c>
      <c r="J42" s="115">
        <v>41738</v>
      </c>
      <c r="K42" s="120" t="s">
        <v>49</v>
      </c>
      <c r="L42" s="120" t="s">
        <v>49</v>
      </c>
      <c r="M42" s="120" t="s">
        <v>49</v>
      </c>
      <c r="N42" s="115">
        <v>41828</v>
      </c>
      <c r="O42" s="120" t="s">
        <v>49</v>
      </c>
      <c r="P42" s="116" t="s">
        <v>54</v>
      </c>
    </row>
    <row r="43" spans="1:16" ht="15" customHeight="1">
      <c r="A43" s="389" t="s">
        <v>218</v>
      </c>
      <c r="B43" s="392" t="s">
        <v>221</v>
      </c>
      <c r="C43" s="76" t="s">
        <v>4</v>
      </c>
      <c r="D43" s="79">
        <v>200000</v>
      </c>
      <c r="E43" s="77" t="s">
        <v>13</v>
      </c>
      <c r="F43" s="379" t="s">
        <v>51</v>
      </c>
      <c r="G43" s="74" t="s">
        <v>49</v>
      </c>
      <c r="H43" s="74" t="s">
        <v>49</v>
      </c>
      <c r="I43" s="74">
        <v>41697</v>
      </c>
      <c r="J43" s="74">
        <f>+I43+28</f>
        <v>41725</v>
      </c>
      <c r="K43" s="74" t="s">
        <v>49</v>
      </c>
      <c r="L43" s="74" t="s">
        <v>49</v>
      </c>
      <c r="M43" s="74" t="s">
        <v>49</v>
      </c>
      <c r="N43" s="74">
        <f>J43+21</f>
        <v>41746</v>
      </c>
      <c r="O43" s="78" t="s">
        <v>49</v>
      </c>
      <c r="P43" s="74" t="s">
        <v>54</v>
      </c>
    </row>
    <row r="44" spans="1:16" ht="40.5" customHeight="1">
      <c r="A44" s="389"/>
      <c r="B44" s="392"/>
      <c r="C44" s="117" t="s">
        <v>5</v>
      </c>
      <c r="D44" s="118">
        <v>404958</v>
      </c>
      <c r="E44" s="120" t="s">
        <v>13</v>
      </c>
      <c r="F44" s="380" t="s">
        <v>51</v>
      </c>
      <c r="G44" s="120" t="s">
        <v>49</v>
      </c>
      <c r="H44" s="120" t="s">
        <v>49</v>
      </c>
      <c r="I44" s="115">
        <v>41709</v>
      </c>
      <c r="J44" s="115">
        <v>41739</v>
      </c>
      <c r="K44" s="120" t="s">
        <v>49</v>
      </c>
      <c r="L44" s="120" t="s">
        <v>49</v>
      </c>
      <c r="M44" s="120" t="s">
        <v>49</v>
      </c>
      <c r="N44" s="115">
        <v>41842</v>
      </c>
      <c r="O44" s="120" t="s">
        <v>49</v>
      </c>
      <c r="P44" s="115" t="s">
        <v>54</v>
      </c>
    </row>
    <row r="45" spans="1:16" ht="15" customHeight="1">
      <c r="A45" s="389" t="s">
        <v>219</v>
      </c>
      <c r="B45" s="392" t="s">
        <v>222</v>
      </c>
      <c r="C45" s="76" t="s">
        <v>4</v>
      </c>
      <c r="D45" s="79">
        <v>200000</v>
      </c>
      <c r="E45" s="77" t="s">
        <v>13</v>
      </c>
      <c r="F45" s="379" t="s">
        <v>51</v>
      </c>
      <c r="G45" s="74" t="s">
        <v>49</v>
      </c>
      <c r="H45" s="74" t="s">
        <v>49</v>
      </c>
      <c r="I45" s="74">
        <v>41698</v>
      </c>
      <c r="J45" s="74">
        <f>+I45+28</f>
        <v>41726</v>
      </c>
      <c r="K45" s="74" t="s">
        <v>49</v>
      </c>
      <c r="L45" s="74" t="s">
        <v>49</v>
      </c>
      <c r="M45" s="74" t="s">
        <v>49</v>
      </c>
      <c r="N45" s="74">
        <f>J45+21</f>
        <v>41747</v>
      </c>
      <c r="O45" s="78" t="s">
        <v>49</v>
      </c>
      <c r="P45" s="74" t="s">
        <v>54</v>
      </c>
    </row>
    <row r="46" spans="1:16" ht="40.5" customHeight="1">
      <c r="A46" s="389"/>
      <c r="B46" s="392"/>
      <c r="C46" s="117" t="s">
        <v>5</v>
      </c>
      <c r="D46" s="118">
        <v>408596</v>
      </c>
      <c r="E46" s="120" t="s">
        <v>13</v>
      </c>
      <c r="F46" s="380" t="s">
        <v>51</v>
      </c>
      <c r="G46" s="120" t="s">
        <v>49</v>
      </c>
      <c r="H46" s="120" t="s">
        <v>49</v>
      </c>
      <c r="I46" s="115">
        <v>41710</v>
      </c>
      <c r="J46" s="115">
        <v>41740</v>
      </c>
      <c r="K46" s="120" t="s">
        <v>49</v>
      </c>
      <c r="L46" s="120" t="s">
        <v>49</v>
      </c>
      <c r="M46" s="120" t="s">
        <v>49</v>
      </c>
      <c r="N46" s="115">
        <v>41858</v>
      </c>
      <c r="O46" s="120" t="s">
        <v>49</v>
      </c>
      <c r="P46" s="115" t="s">
        <v>54</v>
      </c>
    </row>
    <row r="47" spans="1:16" ht="24.75" customHeight="1">
      <c r="A47" s="384" t="s">
        <v>238</v>
      </c>
      <c r="B47" s="388" t="s">
        <v>240</v>
      </c>
      <c r="C47" s="76" t="s">
        <v>4</v>
      </c>
      <c r="D47" s="79">
        <v>1000000</v>
      </c>
      <c r="E47" s="77" t="s">
        <v>13</v>
      </c>
      <c r="F47" s="379" t="s">
        <v>51</v>
      </c>
      <c r="G47" s="74" t="s">
        <v>49</v>
      </c>
      <c r="H47" s="74" t="s">
        <v>49</v>
      </c>
      <c r="I47" s="74">
        <v>41734</v>
      </c>
      <c r="J47" s="74">
        <f>I47+56</f>
        <v>41790</v>
      </c>
      <c r="K47" s="74" t="s">
        <v>49</v>
      </c>
      <c r="L47" s="74" t="s">
        <v>49</v>
      </c>
      <c r="M47" s="74" t="s">
        <v>49</v>
      </c>
      <c r="N47" s="74">
        <f>J47+21</f>
        <v>41811</v>
      </c>
      <c r="O47" s="74" t="s">
        <v>49</v>
      </c>
      <c r="P47" s="77" t="s">
        <v>109</v>
      </c>
    </row>
    <row r="48" spans="1:16" ht="13.5" customHeight="1">
      <c r="A48" s="385"/>
      <c r="B48" s="388"/>
      <c r="C48" s="117" t="s">
        <v>5</v>
      </c>
      <c r="D48" s="118">
        <v>1458602</v>
      </c>
      <c r="E48" s="120" t="s">
        <v>13</v>
      </c>
      <c r="F48" s="380" t="s">
        <v>51</v>
      </c>
      <c r="G48" s="120" t="s">
        <v>49</v>
      </c>
      <c r="H48" s="120" t="s">
        <v>49</v>
      </c>
      <c r="I48" s="115">
        <v>41759</v>
      </c>
      <c r="J48" s="115">
        <v>41788</v>
      </c>
      <c r="K48" s="120" t="s">
        <v>49</v>
      </c>
      <c r="L48" s="120" t="s">
        <v>49</v>
      </c>
      <c r="M48" s="120" t="s">
        <v>49</v>
      </c>
      <c r="N48" s="115">
        <v>41864</v>
      </c>
      <c r="O48" s="120" t="s">
        <v>49</v>
      </c>
      <c r="P48" s="120" t="s">
        <v>186</v>
      </c>
    </row>
    <row r="49" spans="1:16" ht="13.5" customHeight="1">
      <c r="A49" s="384" t="s">
        <v>239</v>
      </c>
      <c r="B49" s="388" t="s">
        <v>241</v>
      </c>
      <c r="C49" s="76" t="s">
        <v>4</v>
      </c>
      <c r="D49" s="79">
        <v>1000000</v>
      </c>
      <c r="E49" s="77" t="s">
        <v>13</v>
      </c>
      <c r="F49" s="379" t="s">
        <v>51</v>
      </c>
      <c r="G49" s="74" t="s">
        <v>49</v>
      </c>
      <c r="H49" s="74" t="s">
        <v>49</v>
      </c>
      <c r="I49" s="74">
        <v>41917</v>
      </c>
      <c r="J49" s="74">
        <f>I49+56</f>
        <v>41973</v>
      </c>
      <c r="K49" s="74" t="s">
        <v>49</v>
      </c>
      <c r="L49" s="74" t="s">
        <v>49</v>
      </c>
      <c r="M49" s="74" t="s">
        <v>49</v>
      </c>
      <c r="N49" s="74">
        <f>J49+21</f>
        <v>41994</v>
      </c>
      <c r="O49" s="74" t="s">
        <v>49</v>
      </c>
      <c r="P49" s="77" t="s">
        <v>109</v>
      </c>
    </row>
    <row r="50" spans="1:16" ht="25.5" customHeight="1">
      <c r="A50" s="385"/>
      <c r="B50" s="388"/>
      <c r="C50" s="117" t="s">
        <v>5</v>
      </c>
      <c r="D50" s="114">
        <v>1689655.1724137932</v>
      </c>
      <c r="E50" s="120" t="s">
        <v>13</v>
      </c>
      <c r="F50" s="380" t="s">
        <v>51</v>
      </c>
      <c r="G50" s="120" t="s">
        <v>49</v>
      </c>
      <c r="H50" s="120" t="s">
        <v>49</v>
      </c>
      <c r="I50" s="115">
        <v>41894</v>
      </c>
      <c r="J50" s="115">
        <v>41927</v>
      </c>
      <c r="K50" s="120" t="s">
        <v>49</v>
      </c>
      <c r="L50" s="120" t="s">
        <v>49</v>
      </c>
      <c r="M50" s="120" t="s">
        <v>49</v>
      </c>
      <c r="N50" s="115">
        <v>41995</v>
      </c>
      <c r="O50" s="120" t="s">
        <v>49</v>
      </c>
      <c r="P50" s="120" t="s">
        <v>186</v>
      </c>
    </row>
    <row r="51" spans="1:16" ht="24" customHeight="1">
      <c r="A51" s="384">
        <v>21</v>
      </c>
      <c r="B51" s="388" t="s">
        <v>108</v>
      </c>
      <c r="C51" s="76" t="s">
        <v>4</v>
      </c>
      <c r="D51" s="79">
        <v>783900</v>
      </c>
      <c r="E51" s="77" t="s">
        <v>13</v>
      </c>
      <c r="F51" s="379" t="s">
        <v>51</v>
      </c>
      <c r="G51" s="74" t="s">
        <v>49</v>
      </c>
      <c r="H51" s="74" t="s">
        <v>49</v>
      </c>
      <c r="I51" s="74">
        <v>41179</v>
      </c>
      <c r="J51" s="74">
        <f>I51+56</f>
        <v>41235</v>
      </c>
      <c r="K51" s="74" t="s">
        <v>49</v>
      </c>
      <c r="L51" s="74" t="s">
        <v>49</v>
      </c>
      <c r="M51" s="74" t="s">
        <v>49</v>
      </c>
      <c r="N51" s="74">
        <f>J51+21</f>
        <v>41256</v>
      </c>
      <c r="O51" s="78" t="s">
        <v>49</v>
      </c>
      <c r="P51" s="77" t="s">
        <v>109</v>
      </c>
    </row>
    <row r="52" spans="1:16" ht="13.5" customHeight="1">
      <c r="A52" s="385"/>
      <c r="B52" s="388"/>
      <c r="C52" s="117" t="s">
        <v>5</v>
      </c>
      <c r="D52" s="114">
        <v>1205970.22</v>
      </c>
      <c r="E52" s="120" t="s">
        <v>13</v>
      </c>
      <c r="F52" s="380" t="s">
        <v>51</v>
      </c>
      <c r="G52" s="115" t="s">
        <v>49</v>
      </c>
      <c r="H52" s="115" t="s">
        <v>49</v>
      </c>
      <c r="I52" s="115">
        <v>41247</v>
      </c>
      <c r="J52" s="115">
        <v>41292</v>
      </c>
      <c r="K52" s="115" t="s">
        <v>49</v>
      </c>
      <c r="L52" s="115" t="s">
        <v>49</v>
      </c>
      <c r="M52" s="115" t="s">
        <v>49</v>
      </c>
      <c r="N52" s="115">
        <v>41450</v>
      </c>
      <c r="O52" s="120" t="s">
        <v>49</v>
      </c>
      <c r="P52" s="120" t="s">
        <v>186</v>
      </c>
    </row>
    <row r="53" spans="1:16" ht="13.5" customHeight="1">
      <c r="A53" s="384">
        <v>22</v>
      </c>
      <c r="B53" s="388" t="s">
        <v>112</v>
      </c>
      <c r="C53" s="76" t="s">
        <v>4</v>
      </c>
      <c r="D53" s="79">
        <v>200000</v>
      </c>
      <c r="E53" s="77" t="s">
        <v>111</v>
      </c>
      <c r="F53" s="379" t="s">
        <v>51</v>
      </c>
      <c r="G53" s="74" t="s">
        <v>49</v>
      </c>
      <c r="H53" s="74" t="s">
        <v>49</v>
      </c>
      <c r="I53" s="74">
        <v>41133</v>
      </c>
      <c r="J53" s="74">
        <f>+I53+28</f>
        <v>41161</v>
      </c>
      <c r="K53" s="74" t="s">
        <v>49</v>
      </c>
      <c r="L53" s="74" t="s">
        <v>49</v>
      </c>
      <c r="M53" s="74" t="s">
        <v>49</v>
      </c>
      <c r="N53" s="74">
        <f>J53+21</f>
        <v>41182</v>
      </c>
      <c r="O53" s="78" t="s">
        <v>49</v>
      </c>
      <c r="P53" s="77" t="s">
        <v>54</v>
      </c>
    </row>
    <row r="54" spans="1:16" ht="13.5" customHeight="1">
      <c r="A54" s="385"/>
      <c r="B54" s="388"/>
      <c r="C54" s="117" t="s">
        <v>5</v>
      </c>
      <c r="D54" s="114">
        <v>204997.33</v>
      </c>
      <c r="E54" s="120" t="s">
        <v>111</v>
      </c>
      <c r="F54" s="380" t="s">
        <v>51</v>
      </c>
      <c r="G54" s="115" t="s">
        <v>49</v>
      </c>
      <c r="H54" s="115" t="s">
        <v>49</v>
      </c>
      <c r="I54" s="115">
        <v>41264</v>
      </c>
      <c r="J54" s="115">
        <v>41304</v>
      </c>
      <c r="K54" s="115" t="s">
        <v>49</v>
      </c>
      <c r="L54" s="115" t="s">
        <v>49</v>
      </c>
      <c r="M54" s="115" t="s">
        <v>49</v>
      </c>
      <c r="N54" s="115">
        <v>41430</v>
      </c>
      <c r="O54" s="121" t="s">
        <v>49</v>
      </c>
      <c r="P54" s="120" t="s">
        <v>187</v>
      </c>
    </row>
    <row r="55" spans="1:16" s="56" customFormat="1" ht="21.75" customHeight="1">
      <c r="A55" s="384">
        <v>23</v>
      </c>
      <c r="B55" s="388" t="s">
        <v>283</v>
      </c>
      <c r="C55" s="76" t="s">
        <v>4</v>
      </c>
      <c r="D55" s="72">
        <v>1000000</v>
      </c>
      <c r="E55" s="77" t="s">
        <v>13</v>
      </c>
      <c r="F55" s="379" t="s">
        <v>51</v>
      </c>
      <c r="G55" s="74" t="s">
        <v>49</v>
      </c>
      <c r="H55" s="74" t="s">
        <v>49</v>
      </c>
      <c r="I55" s="74">
        <v>42271</v>
      </c>
      <c r="J55" s="74">
        <f>I55+28</f>
        <v>42299</v>
      </c>
      <c r="K55" s="74" t="s">
        <v>49</v>
      </c>
      <c r="L55" s="74" t="s">
        <v>49</v>
      </c>
      <c r="M55" s="74" t="s">
        <v>49</v>
      </c>
      <c r="N55" s="74">
        <f>J55+21</f>
        <v>42320</v>
      </c>
      <c r="O55" s="78" t="s">
        <v>49</v>
      </c>
      <c r="P55" s="77" t="s">
        <v>109</v>
      </c>
    </row>
    <row r="56" spans="1:16" ht="33" customHeight="1">
      <c r="A56" s="385"/>
      <c r="B56" s="388"/>
      <c r="C56" s="117" t="s">
        <v>5</v>
      </c>
      <c r="D56" s="114"/>
      <c r="E56" s="120" t="s">
        <v>13</v>
      </c>
      <c r="F56" s="380" t="s">
        <v>51</v>
      </c>
      <c r="G56" s="115" t="s">
        <v>49</v>
      </c>
      <c r="H56" s="115" t="s">
        <v>49</v>
      </c>
      <c r="I56" s="115">
        <v>42270</v>
      </c>
      <c r="J56" s="115">
        <v>42310</v>
      </c>
      <c r="K56" s="115" t="s">
        <v>49</v>
      </c>
      <c r="L56" s="115" t="s">
        <v>49</v>
      </c>
      <c r="M56" s="115" t="s">
        <v>49</v>
      </c>
      <c r="N56" s="115"/>
      <c r="O56" s="121" t="s">
        <v>49</v>
      </c>
      <c r="P56" s="120" t="s">
        <v>21</v>
      </c>
    </row>
    <row r="57" spans="1:16" ht="12" customHeight="1">
      <c r="A57" s="384">
        <v>24</v>
      </c>
      <c r="B57" s="392" t="s">
        <v>277</v>
      </c>
      <c r="C57" s="76" t="s">
        <v>4</v>
      </c>
      <c r="D57" s="72">
        <v>500000</v>
      </c>
      <c r="E57" s="77" t="s">
        <v>13</v>
      </c>
      <c r="F57" s="379" t="s">
        <v>51</v>
      </c>
      <c r="G57" s="74" t="s">
        <v>49</v>
      </c>
      <c r="H57" s="74" t="s">
        <v>49</v>
      </c>
      <c r="I57" s="74">
        <v>42272</v>
      </c>
      <c r="J57" s="74">
        <f>I57+28</f>
        <v>42300</v>
      </c>
      <c r="K57" s="74" t="s">
        <v>49</v>
      </c>
      <c r="L57" s="74" t="s">
        <v>49</v>
      </c>
      <c r="M57" s="74" t="s">
        <v>49</v>
      </c>
      <c r="N57" s="74">
        <f>J57+21</f>
        <v>42321</v>
      </c>
      <c r="O57" s="78" t="s">
        <v>49</v>
      </c>
      <c r="P57" s="77" t="s">
        <v>244</v>
      </c>
    </row>
    <row r="58" spans="1:16" ht="14.25" customHeight="1">
      <c r="A58" s="385"/>
      <c r="B58" s="392"/>
      <c r="C58" s="117" t="s">
        <v>5</v>
      </c>
      <c r="D58" s="114"/>
      <c r="E58" s="120"/>
      <c r="F58" s="380"/>
      <c r="G58" s="115"/>
      <c r="H58" s="115"/>
      <c r="I58" s="115"/>
      <c r="J58" s="115"/>
      <c r="K58" s="115"/>
      <c r="L58" s="115"/>
      <c r="M58" s="115"/>
      <c r="N58" s="115"/>
      <c r="O58" s="121"/>
      <c r="P58" s="120"/>
    </row>
    <row r="59" spans="1:16" s="56" customFormat="1" ht="14.25" customHeight="1">
      <c r="A59" s="384">
        <v>25</v>
      </c>
      <c r="B59" s="388" t="s">
        <v>266</v>
      </c>
      <c r="C59" s="76" t="s">
        <v>4</v>
      </c>
      <c r="D59" s="72">
        <v>620000</v>
      </c>
      <c r="E59" s="77" t="s">
        <v>13</v>
      </c>
      <c r="F59" s="379" t="s">
        <v>51</v>
      </c>
      <c r="G59" s="74" t="s">
        <v>49</v>
      </c>
      <c r="H59" s="74" t="s">
        <v>49</v>
      </c>
      <c r="I59" s="74">
        <v>42336</v>
      </c>
      <c r="J59" s="74">
        <f>I59+30</f>
        <v>42366</v>
      </c>
      <c r="K59" s="74" t="s">
        <v>49</v>
      </c>
      <c r="L59" s="74" t="s">
        <v>49</v>
      </c>
      <c r="M59" s="74" t="s">
        <v>49</v>
      </c>
      <c r="N59" s="74">
        <f>J59+21</f>
        <v>42387</v>
      </c>
      <c r="O59" s="78" t="s">
        <v>49</v>
      </c>
      <c r="P59" s="77" t="s">
        <v>244</v>
      </c>
    </row>
    <row r="60" spans="1:16" s="146" customFormat="1" ht="14.25" customHeight="1">
      <c r="A60" s="385"/>
      <c r="B60" s="388"/>
      <c r="C60" s="117" t="s">
        <v>5</v>
      </c>
      <c r="D60" s="114"/>
      <c r="E60" s="120"/>
      <c r="F60" s="380"/>
      <c r="G60" s="115"/>
      <c r="H60" s="115"/>
      <c r="I60" s="115"/>
      <c r="J60" s="115"/>
      <c r="K60" s="115"/>
      <c r="L60" s="115"/>
      <c r="M60" s="115"/>
      <c r="N60" s="115"/>
      <c r="O60" s="121"/>
      <c r="P60" s="120"/>
    </row>
    <row r="61" spans="1:16" s="146" customFormat="1" ht="14.25" customHeight="1">
      <c r="A61" s="384">
        <v>26</v>
      </c>
      <c r="B61" s="388" t="s">
        <v>284</v>
      </c>
      <c r="C61" s="76" t="s">
        <v>4</v>
      </c>
      <c r="D61" s="72">
        <v>1450000</v>
      </c>
      <c r="E61" s="77" t="s">
        <v>13</v>
      </c>
      <c r="F61" s="379" t="s">
        <v>51</v>
      </c>
      <c r="G61" s="74" t="s">
        <v>49</v>
      </c>
      <c r="H61" s="74" t="s">
        <v>49</v>
      </c>
      <c r="I61" s="74">
        <v>42334</v>
      </c>
      <c r="J61" s="74">
        <f>I61+30</f>
        <v>42364</v>
      </c>
      <c r="K61" s="74" t="s">
        <v>49</v>
      </c>
      <c r="L61" s="74" t="s">
        <v>49</v>
      </c>
      <c r="M61" s="74" t="s">
        <v>49</v>
      </c>
      <c r="N61" s="74">
        <f>J61+21</f>
        <v>42385</v>
      </c>
      <c r="O61" s="78" t="s">
        <v>49</v>
      </c>
      <c r="P61" s="77" t="s">
        <v>244</v>
      </c>
    </row>
    <row r="62" spans="1:16" s="146" customFormat="1" ht="14.25" customHeight="1">
      <c r="A62" s="385"/>
      <c r="B62" s="388"/>
      <c r="C62" s="117" t="s">
        <v>5</v>
      </c>
      <c r="D62" s="114"/>
      <c r="E62" s="120"/>
      <c r="F62" s="380"/>
      <c r="G62" s="115"/>
      <c r="H62" s="115"/>
      <c r="I62" s="115"/>
      <c r="J62" s="115"/>
      <c r="K62" s="115"/>
      <c r="L62" s="115"/>
      <c r="M62" s="115"/>
      <c r="N62" s="115"/>
      <c r="O62" s="121"/>
      <c r="P62" s="120"/>
    </row>
    <row r="63" spans="1:16" s="56" customFormat="1" ht="14.25" customHeight="1">
      <c r="A63" s="384">
        <v>27</v>
      </c>
      <c r="B63" s="386" t="s">
        <v>432</v>
      </c>
      <c r="C63" s="76" t="s">
        <v>4</v>
      </c>
      <c r="D63" s="72">
        <v>500000</v>
      </c>
      <c r="E63" s="77" t="s">
        <v>13</v>
      </c>
      <c r="F63" s="379" t="s">
        <v>51</v>
      </c>
      <c r="G63" s="74" t="s">
        <v>49</v>
      </c>
      <c r="H63" s="74" t="s">
        <v>49</v>
      </c>
      <c r="I63" s="74">
        <v>42394</v>
      </c>
      <c r="J63" s="74">
        <f>I63+30</f>
        <v>42424</v>
      </c>
      <c r="K63" s="74" t="s">
        <v>49</v>
      </c>
      <c r="L63" s="74" t="s">
        <v>49</v>
      </c>
      <c r="M63" s="74" t="s">
        <v>49</v>
      </c>
      <c r="N63" s="74">
        <f>J63+21</f>
        <v>42445</v>
      </c>
      <c r="O63" s="78" t="s">
        <v>49</v>
      </c>
      <c r="P63" s="77" t="s">
        <v>244</v>
      </c>
    </row>
    <row r="64" spans="1:16" s="146" customFormat="1" ht="14.25" customHeight="1">
      <c r="A64" s="385"/>
      <c r="B64" s="387"/>
      <c r="C64" s="117" t="s">
        <v>5</v>
      </c>
      <c r="D64" s="114"/>
      <c r="E64" s="120"/>
      <c r="F64" s="380"/>
      <c r="G64" s="115"/>
      <c r="H64" s="115"/>
      <c r="I64" s="115"/>
      <c r="J64" s="115"/>
      <c r="K64" s="115"/>
      <c r="L64" s="115"/>
      <c r="M64" s="115"/>
      <c r="N64" s="115"/>
      <c r="O64" s="121"/>
      <c r="P64" s="120"/>
    </row>
    <row r="65" spans="1:16" ht="12.75">
      <c r="A65" s="75"/>
      <c r="B65" s="81" t="s">
        <v>42</v>
      </c>
      <c r="C65" s="76" t="s">
        <v>4</v>
      </c>
      <c r="D65" s="207">
        <f>D13+D15+D17+D19+D21+D23+D25+D27+D29+D31+D33+D35+D37+D39+D41+D43+D45+D47+D49+D51+D53+D55+D57+D59+D61+D63</f>
        <v>74203900</v>
      </c>
      <c r="E65" s="80"/>
      <c r="F65" s="379"/>
      <c r="G65" s="77"/>
      <c r="H65" s="77"/>
      <c r="I65" s="74"/>
      <c r="J65" s="74"/>
      <c r="K65" s="77"/>
      <c r="L65" s="77"/>
      <c r="M65" s="77"/>
      <c r="N65" s="77"/>
      <c r="O65" s="77"/>
      <c r="P65" s="77"/>
    </row>
    <row r="66" spans="1:16" ht="12.75">
      <c r="A66" s="82"/>
      <c r="B66" s="81" t="s">
        <v>42</v>
      </c>
      <c r="C66" s="117" t="s">
        <v>5</v>
      </c>
      <c r="D66" s="122">
        <f>D14+D16+D18+D20+D22+D24+D26+D28+D30+D32+D34+D36+D38+D40+D42+D44+D46+D48+D50+D52+D54+D56+D58+D60+D64</f>
        <v>33212981.22241379</v>
      </c>
      <c r="E66" s="80"/>
      <c r="F66" s="379"/>
      <c r="G66" s="80"/>
      <c r="H66" s="80"/>
      <c r="I66" s="80"/>
      <c r="J66" s="161"/>
      <c r="K66" s="80"/>
      <c r="L66" s="80"/>
      <c r="M66" s="80"/>
      <c r="N66" s="80"/>
      <c r="O66" s="80"/>
      <c r="P66" s="80"/>
    </row>
    <row r="67" spans="1:12" ht="13.5">
      <c r="A67" s="18"/>
      <c r="B67" s="49" t="s">
        <v>77</v>
      </c>
      <c r="C67" s="49"/>
      <c r="D67" s="49"/>
      <c r="E67" s="50"/>
      <c r="F67" s="50"/>
      <c r="G67" s="49"/>
      <c r="H67" s="51"/>
      <c r="I67" s="49"/>
      <c r="J67" s="52"/>
      <c r="K67" s="49"/>
      <c r="L67" s="49"/>
    </row>
    <row r="68" spans="2:12" ht="18">
      <c r="B68" s="111"/>
      <c r="C68" s="49"/>
      <c r="D68" s="49"/>
      <c r="E68" s="50"/>
      <c r="F68" s="50"/>
      <c r="G68" s="49"/>
      <c r="H68" s="49"/>
      <c r="I68" s="49"/>
      <c r="J68" s="52"/>
      <c r="K68" s="49"/>
      <c r="L68" s="49"/>
    </row>
    <row r="69" spans="1:16" ht="13.5">
      <c r="A69" s="9"/>
      <c r="B69" s="49"/>
      <c r="C69" s="9"/>
      <c r="D69" s="9"/>
      <c r="E69" s="9"/>
      <c r="F69" s="9"/>
      <c r="G69" s="9"/>
      <c r="O69" s="157"/>
      <c r="P69" s="157"/>
    </row>
    <row r="70" spans="2:6" ht="13.5">
      <c r="B70" s="49"/>
      <c r="D70" s="208"/>
      <c r="E70" s="184"/>
      <c r="F70" s="184"/>
    </row>
    <row r="71" spans="2:5" ht="13.5">
      <c r="B71" s="49"/>
      <c r="D71" s="45"/>
      <c r="E71" s="12"/>
    </row>
    <row r="72" spans="2:4" ht="12.75">
      <c r="B72" s="60"/>
      <c r="D72" s="17"/>
    </row>
    <row r="73" ht="12.75">
      <c r="D73" s="14"/>
    </row>
    <row r="74" ht="12.75">
      <c r="D74" s="13"/>
    </row>
    <row r="75" ht="12.75">
      <c r="D75" s="14"/>
    </row>
    <row r="76" ht="12.75">
      <c r="D76" s="13"/>
    </row>
    <row r="80" spans="4:6" ht="12.75">
      <c r="D80" s="14"/>
      <c r="E80" s="13"/>
      <c r="F80" s="13"/>
    </row>
    <row r="81" spans="4:6" ht="12.75">
      <c r="D81" s="13"/>
      <c r="E81" s="13"/>
      <c r="F81" s="13"/>
    </row>
    <row r="82" spans="4:6" ht="12.75">
      <c r="D82" s="14"/>
      <c r="E82" s="13"/>
      <c r="F82" s="13"/>
    </row>
    <row r="83" spans="4:6" ht="12.75">
      <c r="D83" s="13"/>
      <c r="E83" s="13"/>
      <c r="F83" s="13"/>
    </row>
    <row r="84" spans="4:6" ht="12.75">
      <c r="D84" s="14"/>
      <c r="E84" s="13"/>
      <c r="F84" s="13"/>
    </row>
    <row r="85" spans="5:6" ht="12.75">
      <c r="E85" s="13"/>
      <c r="F85" s="13"/>
    </row>
    <row r="86" spans="5:6" ht="12.75">
      <c r="E86" s="13"/>
      <c r="F86" s="13"/>
    </row>
    <row r="87" spans="5:6" ht="12.75">
      <c r="E87" s="14"/>
      <c r="F87" s="14"/>
    </row>
  </sheetData>
  <sheetProtection/>
  <mergeCells count="74">
    <mergeCell ref="A23:A24"/>
    <mergeCell ref="B45:B46"/>
    <mergeCell ref="A53:A54"/>
    <mergeCell ref="B53:B54"/>
    <mergeCell ref="A49:A50"/>
    <mergeCell ref="B49:B50"/>
    <mergeCell ref="B51:B52"/>
    <mergeCell ref="A47:A48"/>
    <mergeCell ref="A51:A52"/>
    <mergeCell ref="A39:A40"/>
    <mergeCell ref="A33:A34"/>
    <mergeCell ref="B33:B34"/>
    <mergeCell ref="A35:A36"/>
    <mergeCell ref="B35:B36"/>
    <mergeCell ref="A27:A28"/>
    <mergeCell ref="A37:A38"/>
    <mergeCell ref="B37:B38"/>
    <mergeCell ref="B15:B16"/>
    <mergeCell ref="E9:E11"/>
    <mergeCell ref="A25:A26"/>
    <mergeCell ref="B25:B26"/>
    <mergeCell ref="A15:A16"/>
    <mergeCell ref="B21:B22"/>
    <mergeCell ref="A19:A20"/>
    <mergeCell ref="A13:A14"/>
    <mergeCell ref="B17:B18"/>
    <mergeCell ref="A21:A22"/>
    <mergeCell ref="B23:B24"/>
    <mergeCell ref="A4:P4"/>
    <mergeCell ref="C6:P6"/>
    <mergeCell ref="O9:O11"/>
    <mergeCell ref="C7:P7"/>
    <mergeCell ref="K9:K11"/>
    <mergeCell ref="J9:J11"/>
    <mergeCell ref="G9:G11"/>
    <mergeCell ref="P9:P11"/>
    <mergeCell ref="A17:A18"/>
    <mergeCell ref="A2:P2"/>
    <mergeCell ref="A3:P3"/>
    <mergeCell ref="C9:C11"/>
    <mergeCell ref="B9:B11"/>
    <mergeCell ref="A9:A11"/>
    <mergeCell ref="C5:P5"/>
    <mergeCell ref="F9:F11"/>
    <mergeCell ref="B55:B56"/>
    <mergeCell ref="N9:N11"/>
    <mergeCell ref="D9:D11"/>
    <mergeCell ref="B19:B20"/>
    <mergeCell ref="M9:M11"/>
    <mergeCell ref="I9:I11"/>
    <mergeCell ref="B39:B40"/>
    <mergeCell ref="H9:H11"/>
    <mergeCell ref="L9:L11"/>
    <mergeCell ref="B13:B14"/>
    <mergeCell ref="A59:A60"/>
    <mergeCell ref="B59:B60"/>
    <mergeCell ref="A31:A32"/>
    <mergeCell ref="B27:B28"/>
    <mergeCell ref="A57:A58"/>
    <mergeCell ref="B57:B58"/>
    <mergeCell ref="B41:B42"/>
    <mergeCell ref="A41:A42"/>
    <mergeCell ref="B43:B44"/>
    <mergeCell ref="A55:A56"/>
    <mergeCell ref="A63:A64"/>
    <mergeCell ref="B63:B64"/>
    <mergeCell ref="A61:A62"/>
    <mergeCell ref="B61:B62"/>
    <mergeCell ref="B31:B32"/>
    <mergeCell ref="B29:B30"/>
    <mergeCell ref="A29:A30"/>
    <mergeCell ref="A43:A44"/>
    <mergeCell ref="B47:B48"/>
    <mergeCell ref="A45:A46"/>
  </mergeCells>
  <printOptions/>
  <pageMargins left="0.87" right="0.75" top="1.56" bottom="1" header="0.48" footer="0.5"/>
  <pageSetup fitToHeight="4" fitToWidth="4" horizontalDpi="600" verticalDpi="600" orientation="landscape" paperSize="9" scale="54" r:id="rId1"/>
  <colBreaks count="1" manualBreakCount="1">
    <brk id="10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83" zoomScaleNormal="83" zoomScalePageLayoutView="0" workbookViewId="0" topLeftCell="A7">
      <pane xSplit="2" ySplit="6" topLeftCell="C13" activePane="bottomRight" state="frozen"/>
      <selection pane="topLeft" activeCell="A7" sqref="A7"/>
      <selection pane="topRight" activeCell="C7" sqref="C7"/>
      <selection pane="bottomLeft" activeCell="A8" sqref="A8"/>
      <selection pane="bottomRight" activeCell="R60" sqref="R60:T6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7.8515625" style="0" customWidth="1"/>
    <col min="4" max="4" width="15.00390625" style="0" bestFit="1" customWidth="1"/>
    <col min="5" max="5" width="12.140625" style="0" customWidth="1"/>
    <col min="6" max="6" width="11.140625" style="0" customWidth="1"/>
    <col min="7" max="7" width="14.00390625" style="0" customWidth="1"/>
    <col min="8" max="8" width="14.00390625" style="0" bestFit="1" customWidth="1"/>
    <col min="9" max="9" width="11.7109375" style="0" bestFit="1" customWidth="1"/>
    <col min="10" max="10" width="10.57421875" style="0" customWidth="1"/>
    <col min="11" max="11" width="10.28125" style="0" customWidth="1"/>
    <col min="12" max="12" width="9.28125" style="0" bestFit="1" customWidth="1"/>
    <col min="13" max="13" width="10.28125" style="18" customWidth="1"/>
    <col min="14" max="14" width="10.00390625" style="0" customWidth="1"/>
    <col min="15" max="15" width="9.8515625" style="0" customWidth="1"/>
    <col min="16" max="16" width="11.28125" style="0" customWidth="1"/>
    <col min="17" max="17" width="11.140625" style="0" customWidth="1"/>
    <col min="18" max="18" width="9.7109375" style="0" customWidth="1"/>
    <col min="19" max="19" width="10.140625" style="0" customWidth="1"/>
    <col min="20" max="20" width="9.57421875" style="0" customWidth="1"/>
    <col min="21" max="21" width="10.8515625" style="0" customWidth="1"/>
    <col min="22" max="22" width="10.28125" style="0" customWidth="1"/>
  </cols>
  <sheetData>
    <row r="1" ht="12.75">
      <c r="B1" s="12"/>
    </row>
    <row r="2" spans="1:21" ht="13.5">
      <c r="A2" s="416" t="s">
        <v>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7"/>
    </row>
    <row r="3" spans="1:21" ht="13.5">
      <c r="A3" s="416" t="s">
        <v>33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</row>
    <row r="4" spans="1:21" ht="13.5">
      <c r="A4" s="416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1" ht="13.5">
      <c r="A5" s="420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17"/>
    </row>
    <row r="6" spans="1:21" ht="13.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9"/>
      <c r="N6" s="54"/>
      <c r="O6" s="54"/>
      <c r="P6" s="54"/>
      <c r="Q6" s="54"/>
      <c r="R6" s="54"/>
      <c r="S6" s="54"/>
      <c r="T6" s="54"/>
      <c r="U6" s="11"/>
    </row>
    <row r="7" spans="1:21" ht="12.75">
      <c r="A7" s="61"/>
      <c r="B7" s="62"/>
      <c r="C7" s="400" t="s">
        <v>35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83"/>
    </row>
    <row r="8" spans="1:21" ht="12.75">
      <c r="A8" s="61"/>
      <c r="B8" s="142"/>
      <c r="C8" s="400" t="s">
        <v>65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83"/>
    </row>
    <row r="9" spans="1:21" ht="12.75">
      <c r="A9" s="61"/>
      <c r="B9" s="142"/>
      <c r="C9" s="400" t="s">
        <v>63</v>
      </c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83"/>
    </row>
    <row r="10" spans="1:21" ht="13.5" thickBo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  <c r="N10" s="62"/>
      <c r="O10" s="62"/>
      <c r="P10" s="62"/>
      <c r="Q10" s="62"/>
      <c r="R10" s="62"/>
      <c r="S10" s="62"/>
      <c r="T10" s="62"/>
      <c r="U10" s="83"/>
    </row>
    <row r="11" spans="1:22" ht="49.5" customHeight="1" thickTop="1">
      <c r="A11" s="414" t="s">
        <v>17</v>
      </c>
      <c r="B11" s="414" t="s">
        <v>1</v>
      </c>
      <c r="C11" s="414" t="s">
        <v>19</v>
      </c>
      <c r="D11" s="414" t="s">
        <v>28</v>
      </c>
      <c r="E11" s="414" t="s">
        <v>14</v>
      </c>
      <c r="F11" s="414" t="s">
        <v>50</v>
      </c>
      <c r="G11" s="393" t="s">
        <v>268</v>
      </c>
      <c r="H11" s="393" t="s">
        <v>265</v>
      </c>
      <c r="I11" s="393" t="s">
        <v>107</v>
      </c>
      <c r="J11" s="393" t="s">
        <v>106</v>
      </c>
      <c r="K11" s="393" t="s">
        <v>96</v>
      </c>
      <c r="L11" s="393" t="s">
        <v>97</v>
      </c>
      <c r="M11" s="401" t="s">
        <v>2</v>
      </c>
      <c r="N11" s="393" t="s">
        <v>98</v>
      </c>
      <c r="O11" s="393" t="s">
        <v>99</v>
      </c>
      <c r="P11" s="393" t="s">
        <v>6</v>
      </c>
      <c r="Q11" s="393" t="s">
        <v>25</v>
      </c>
      <c r="R11" s="393" t="s">
        <v>100</v>
      </c>
      <c r="S11" s="393" t="s">
        <v>101</v>
      </c>
      <c r="T11" s="393" t="s">
        <v>3</v>
      </c>
      <c r="U11" s="393" t="s">
        <v>79</v>
      </c>
      <c r="V11" s="21"/>
    </row>
    <row r="12" spans="1:22" ht="49.5" customHeight="1">
      <c r="A12" s="415"/>
      <c r="B12" s="415"/>
      <c r="C12" s="415"/>
      <c r="D12" s="415"/>
      <c r="E12" s="415"/>
      <c r="F12" s="415"/>
      <c r="G12" s="413"/>
      <c r="H12" s="413"/>
      <c r="I12" s="413"/>
      <c r="J12" s="413"/>
      <c r="K12" s="413"/>
      <c r="L12" s="413"/>
      <c r="M12" s="422"/>
      <c r="N12" s="413"/>
      <c r="O12" s="413"/>
      <c r="P12" s="413"/>
      <c r="Q12" s="413"/>
      <c r="R12" s="413"/>
      <c r="S12" s="413"/>
      <c r="T12" s="419"/>
      <c r="U12" s="419"/>
      <c r="V12" s="21"/>
    </row>
    <row r="13" spans="1:22" ht="12.75">
      <c r="A13" s="98"/>
      <c r="B13" s="99"/>
      <c r="C13" s="85"/>
      <c r="D13" s="85"/>
      <c r="E13" s="85"/>
      <c r="F13" s="84"/>
      <c r="G13" s="85"/>
      <c r="H13" s="85"/>
      <c r="I13" s="85"/>
      <c r="J13" s="85"/>
      <c r="K13" s="85"/>
      <c r="L13" s="85"/>
      <c r="M13" s="86"/>
      <c r="N13" s="85"/>
      <c r="O13" s="85"/>
      <c r="P13" s="85"/>
      <c r="Q13" s="85"/>
      <c r="R13" s="85"/>
      <c r="S13" s="85"/>
      <c r="T13" s="87"/>
      <c r="U13" s="87"/>
      <c r="V13" s="21"/>
    </row>
    <row r="14" spans="1:22" ht="28.5" customHeight="1">
      <c r="A14" s="389" t="s">
        <v>118</v>
      </c>
      <c r="B14" s="392" t="s">
        <v>122</v>
      </c>
      <c r="C14" s="88" t="s">
        <v>4</v>
      </c>
      <c r="D14" s="156">
        <v>3000000</v>
      </c>
      <c r="E14" s="90" t="s">
        <v>0</v>
      </c>
      <c r="F14" s="90" t="s">
        <v>52</v>
      </c>
      <c r="G14" s="91">
        <v>41409</v>
      </c>
      <c r="H14" s="91">
        <f>G14+63</f>
        <v>41472</v>
      </c>
      <c r="I14" s="91">
        <f>H14+7</f>
        <v>41479</v>
      </c>
      <c r="J14" s="91">
        <f>I14+14</f>
        <v>41493</v>
      </c>
      <c r="K14" s="91">
        <f>J14+7</f>
        <v>41500</v>
      </c>
      <c r="L14" s="91">
        <f>K14+7</f>
        <v>41507</v>
      </c>
      <c r="M14" s="91">
        <f>L14+56</f>
        <v>41563</v>
      </c>
      <c r="N14" s="91">
        <f>+M14+7</f>
        <v>41570</v>
      </c>
      <c r="O14" s="91">
        <f>+N14+14</f>
        <v>41584</v>
      </c>
      <c r="P14" s="91">
        <f>+O14+21</f>
        <v>41605</v>
      </c>
      <c r="Q14" s="91">
        <f>P14+14</f>
        <v>41619</v>
      </c>
      <c r="R14" s="91">
        <f>+Q14+7</f>
        <v>41626</v>
      </c>
      <c r="S14" s="91">
        <f>+R14+7</f>
        <v>41633</v>
      </c>
      <c r="T14" s="91">
        <f>+S14+14</f>
        <v>41647</v>
      </c>
      <c r="U14" s="91" t="s">
        <v>102</v>
      </c>
      <c r="V14" s="22"/>
    </row>
    <row r="15" spans="1:22" ht="51" customHeight="1">
      <c r="A15" s="389"/>
      <c r="B15" s="392"/>
      <c r="C15" s="123" t="s">
        <v>5</v>
      </c>
      <c r="D15" s="124">
        <v>3611316</v>
      </c>
      <c r="E15" s="125" t="s">
        <v>0</v>
      </c>
      <c r="F15" s="125" t="s">
        <v>52</v>
      </c>
      <c r="G15" s="126">
        <v>41053</v>
      </c>
      <c r="H15" s="126">
        <v>41066</v>
      </c>
      <c r="I15" s="126">
        <v>41071</v>
      </c>
      <c r="J15" s="126">
        <v>41089</v>
      </c>
      <c r="K15" s="126">
        <v>41134</v>
      </c>
      <c r="L15" s="126">
        <v>41484</v>
      </c>
      <c r="M15" s="126">
        <v>41541</v>
      </c>
      <c r="N15" s="126">
        <v>41571</v>
      </c>
      <c r="O15" s="126">
        <v>41604</v>
      </c>
      <c r="P15" s="126">
        <v>41623</v>
      </c>
      <c r="Q15" s="126">
        <v>41660</v>
      </c>
      <c r="R15" s="126">
        <v>41663</v>
      </c>
      <c r="S15" s="126">
        <v>41725</v>
      </c>
      <c r="T15" s="126">
        <v>41733</v>
      </c>
      <c r="U15" s="128" t="s">
        <v>243</v>
      </c>
      <c r="V15" s="22"/>
    </row>
    <row r="16" spans="1:21" s="1" customFormat="1" ht="24" customHeight="1">
      <c r="A16" s="389">
        <v>4</v>
      </c>
      <c r="B16" s="392" t="s">
        <v>113</v>
      </c>
      <c r="C16" s="94" t="s">
        <v>4</v>
      </c>
      <c r="D16" s="95">
        <v>850000</v>
      </c>
      <c r="E16" s="90" t="s">
        <v>114</v>
      </c>
      <c r="F16" s="90" t="s">
        <v>52</v>
      </c>
      <c r="G16" s="91" t="s">
        <v>49</v>
      </c>
      <c r="H16" s="91" t="s">
        <v>49</v>
      </c>
      <c r="I16" s="91" t="s">
        <v>49</v>
      </c>
      <c r="J16" s="91" t="s">
        <v>49</v>
      </c>
      <c r="K16" s="91" t="s">
        <v>49</v>
      </c>
      <c r="L16" s="91" t="s">
        <v>49</v>
      </c>
      <c r="M16" s="91">
        <v>41204</v>
      </c>
      <c r="N16" s="91" t="s">
        <v>49</v>
      </c>
      <c r="O16" s="91" t="s">
        <v>49</v>
      </c>
      <c r="P16" s="91" t="s">
        <v>49</v>
      </c>
      <c r="Q16" s="91">
        <v>41215</v>
      </c>
      <c r="R16" s="91">
        <f>+Q16+7</f>
        <v>41222</v>
      </c>
      <c r="S16" s="91">
        <f>+R16+7</f>
        <v>41229</v>
      </c>
      <c r="T16" s="91">
        <f>+S16+14</f>
        <v>41243</v>
      </c>
      <c r="U16" s="91" t="s">
        <v>88</v>
      </c>
    </row>
    <row r="17" spans="1:21" s="1" customFormat="1" ht="24" customHeight="1">
      <c r="A17" s="389"/>
      <c r="B17" s="392"/>
      <c r="C17" s="130" t="s">
        <v>5</v>
      </c>
      <c r="D17" s="131">
        <v>985243</v>
      </c>
      <c r="E17" s="125" t="s">
        <v>114</v>
      </c>
      <c r="F17" s="125" t="s">
        <v>52</v>
      </c>
      <c r="G17" s="126" t="s">
        <v>49</v>
      </c>
      <c r="H17" s="126" t="s">
        <v>49</v>
      </c>
      <c r="I17" s="126" t="s">
        <v>49</v>
      </c>
      <c r="J17" s="126" t="s">
        <v>49</v>
      </c>
      <c r="K17" s="126" t="s">
        <v>49</v>
      </c>
      <c r="L17" s="126" t="s">
        <v>49</v>
      </c>
      <c r="M17" s="126">
        <v>41227</v>
      </c>
      <c r="N17" s="126" t="s">
        <v>49</v>
      </c>
      <c r="O17" s="126" t="s">
        <v>49</v>
      </c>
      <c r="P17" s="126" t="s">
        <v>49</v>
      </c>
      <c r="Q17" s="126">
        <v>41236</v>
      </c>
      <c r="R17" s="126">
        <v>41250</v>
      </c>
      <c r="S17" s="126">
        <v>41277</v>
      </c>
      <c r="T17" s="126">
        <v>41306</v>
      </c>
      <c r="U17" s="126" t="s">
        <v>88</v>
      </c>
    </row>
    <row r="18" spans="1:22" ht="14.25" customHeight="1">
      <c r="A18" s="389">
        <v>5</v>
      </c>
      <c r="B18" s="411" t="s">
        <v>83</v>
      </c>
      <c r="C18" s="88" t="s">
        <v>4</v>
      </c>
      <c r="D18" s="95">
        <v>110000</v>
      </c>
      <c r="E18" s="90" t="s">
        <v>0</v>
      </c>
      <c r="F18" s="90" t="s">
        <v>51</v>
      </c>
      <c r="G18" s="91">
        <v>41934</v>
      </c>
      <c r="H18" s="91">
        <f>+G18+14</f>
        <v>41948</v>
      </c>
      <c r="I18" s="91">
        <f>+H18+7</f>
        <v>41955</v>
      </c>
      <c r="J18" s="91">
        <f>I18+14</f>
        <v>41969</v>
      </c>
      <c r="K18" s="91" t="s">
        <v>49</v>
      </c>
      <c r="L18" s="91" t="s">
        <v>49</v>
      </c>
      <c r="M18" s="91">
        <f>I18+84</f>
        <v>42039</v>
      </c>
      <c r="N18" s="91" t="s">
        <v>49</v>
      </c>
      <c r="O18" s="91" t="s">
        <v>49</v>
      </c>
      <c r="P18" s="91" t="s">
        <v>49</v>
      </c>
      <c r="Q18" s="91">
        <f>I18+60</f>
        <v>42015</v>
      </c>
      <c r="R18" s="91" t="s">
        <v>49</v>
      </c>
      <c r="S18" s="91" t="s">
        <v>49</v>
      </c>
      <c r="T18" s="91">
        <f>Q18+14</f>
        <v>42029</v>
      </c>
      <c r="U18" s="91" t="s">
        <v>54</v>
      </c>
      <c r="V18" s="1"/>
    </row>
    <row r="19" spans="1:22" s="146" customFormat="1" ht="14.25" customHeight="1">
      <c r="A19" s="389"/>
      <c r="B19" s="411"/>
      <c r="C19" s="123" t="s">
        <v>5</v>
      </c>
      <c r="D19" s="131">
        <v>0</v>
      </c>
      <c r="E19" s="125" t="s">
        <v>0</v>
      </c>
      <c r="F19" s="125" t="s">
        <v>51</v>
      </c>
      <c r="G19" s="126">
        <v>41838</v>
      </c>
      <c r="H19" s="126">
        <v>41858</v>
      </c>
      <c r="I19" s="126">
        <v>41865</v>
      </c>
      <c r="J19" s="126">
        <v>41893</v>
      </c>
      <c r="K19" s="129" t="s">
        <v>49</v>
      </c>
      <c r="L19" s="129" t="s">
        <v>49</v>
      </c>
      <c r="M19" s="126">
        <v>42039</v>
      </c>
      <c r="N19" s="126" t="s">
        <v>49</v>
      </c>
      <c r="O19" s="126" t="s">
        <v>49</v>
      </c>
      <c r="P19" s="126" t="s">
        <v>49</v>
      </c>
      <c r="Q19" s="127">
        <v>42187</v>
      </c>
      <c r="R19" s="126" t="s">
        <v>49</v>
      </c>
      <c r="S19" s="126" t="s">
        <v>49</v>
      </c>
      <c r="T19" s="127">
        <v>42262</v>
      </c>
      <c r="U19" s="120" t="s">
        <v>54</v>
      </c>
      <c r="V19" s="145"/>
    </row>
    <row r="20" spans="1:22" ht="14.25" customHeight="1">
      <c r="A20" s="389">
        <v>6</v>
      </c>
      <c r="B20" s="411" t="s">
        <v>82</v>
      </c>
      <c r="C20" s="88" t="s">
        <v>4</v>
      </c>
      <c r="D20" s="95">
        <v>150000</v>
      </c>
      <c r="E20" s="90" t="s">
        <v>0</v>
      </c>
      <c r="F20" s="90" t="s">
        <v>51</v>
      </c>
      <c r="G20" s="91">
        <v>41182</v>
      </c>
      <c r="H20" s="91">
        <f>+G20+14</f>
        <v>41196</v>
      </c>
      <c r="I20" s="91">
        <f>+H20+7</f>
        <v>41203</v>
      </c>
      <c r="J20" s="91">
        <f>I20+14</f>
        <v>41217</v>
      </c>
      <c r="K20" s="91" t="s">
        <v>49</v>
      </c>
      <c r="L20" s="91" t="s">
        <v>49</v>
      </c>
      <c r="M20" s="91">
        <f>I20+84</f>
        <v>41287</v>
      </c>
      <c r="N20" s="91" t="s">
        <v>49</v>
      </c>
      <c r="O20" s="91" t="s">
        <v>49</v>
      </c>
      <c r="P20" s="91" t="s">
        <v>49</v>
      </c>
      <c r="Q20" s="91">
        <f>M21+77</f>
        <v>41400</v>
      </c>
      <c r="R20" s="91" t="s">
        <v>49</v>
      </c>
      <c r="S20" s="91" t="s">
        <v>49</v>
      </c>
      <c r="T20" s="91">
        <f>Q20+14</f>
        <v>41414</v>
      </c>
      <c r="U20" s="91" t="s">
        <v>21</v>
      </c>
      <c r="V20" s="1"/>
    </row>
    <row r="21" spans="1:22" ht="26.25" customHeight="1">
      <c r="A21" s="389"/>
      <c r="B21" s="411"/>
      <c r="C21" s="123" t="s">
        <v>5</v>
      </c>
      <c r="D21" s="131">
        <v>182319</v>
      </c>
      <c r="E21" s="125" t="s">
        <v>0</v>
      </c>
      <c r="F21" s="125" t="s">
        <v>51</v>
      </c>
      <c r="G21" s="126">
        <v>41116</v>
      </c>
      <c r="H21" s="126">
        <v>41135</v>
      </c>
      <c r="I21" s="126">
        <v>41138</v>
      </c>
      <c r="J21" s="126">
        <v>41156</v>
      </c>
      <c r="K21" s="126" t="s">
        <v>49</v>
      </c>
      <c r="L21" s="126" t="s">
        <v>49</v>
      </c>
      <c r="M21" s="126">
        <v>41323</v>
      </c>
      <c r="N21" s="126" t="s">
        <v>49</v>
      </c>
      <c r="O21" s="126" t="s">
        <v>49</v>
      </c>
      <c r="P21" s="126" t="s">
        <v>49</v>
      </c>
      <c r="Q21" s="126">
        <v>41515</v>
      </c>
      <c r="R21" s="129" t="s">
        <v>49</v>
      </c>
      <c r="S21" s="129" t="s">
        <v>49</v>
      </c>
      <c r="T21" s="126">
        <v>41578</v>
      </c>
      <c r="U21" s="126" t="s">
        <v>21</v>
      </c>
      <c r="V21" s="1"/>
    </row>
    <row r="22" spans="1:22" s="18" customFormat="1" ht="27.75" customHeight="1">
      <c r="A22" s="389">
        <v>7</v>
      </c>
      <c r="B22" s="411" t="s">
        <v>228</v>
      </c>
      <c r="C22" s="88" t="s">
        <v>4</v>
      </c>
      <c r="D22" s="89">
        <f>360000+100000+50000</f>
        <v>510000</v>
      </c>
      <c r="E22" s="90" t="s">
        <v>0</v>
      </c>
      <c r="F22" s="90" t="s">
        <v>51</v>
      </c>
      <c r="G22" s="91">
        <v>42093</v>
      </c>
      <c r="H22" s="91">
        <f>+G22+14</f>
        <v>42107</v>
      </c>
      <c r="I22" s="91">
        <f>+H22+7</f>
        <v>42114</v>
      </c>
      <c r="J22" s="91">
        <f>+I22+14</f>
        <v>42128</v>
      </c>
      <c r="K22" s="91" t="s">
        <v>49</v>
      </c>
      <c r="L22" s="91" t="s">
        <v>49</v>
      </c>
      <c r="M22" s="91">
        <f>J22+14+56+60</f>
        <v>42258</v>
      </c>
      <c r="N22" s="91" t="s">
        <v>49</v>
      </c>
      <c r="O22" s="91" t="s">
        <v>49</v>
      </c>
      <c r="P22" s="91" t="s">
        <v>49</v>
      </c>
      <c r="Q22" s="91">
        <f>M22+56</f>
        <v>42314</v>
      </c>
      <c r="R22" s="91" t="s">
        <v>49</v>
      </c>
      <c r="S22" s="91" t="s">
        <v>49</v>
      </c>
      <c r="T22" s="91">
        <f>Q22+28</f>
        <v>42342</v>
      </c>
      <c r="U22" s="91" t="s">
        <v>21</v>
      </c>
      <c r="V22" s="43"/>
    </row>
    <row r="23" spans="1:22" s="146" customFormat="1" ht="35.25" customHeight="1">
      <c r="A23" s="389"/>
      <c r="B23" s="411"/>
      <c r="C23" s="123" t="s">
        <v>5</v>
      </c>
      <c r="D23" s="131">
        <v>0</v>
      </c>
      <c r="E23" s="125" t="s">
        <v>0</v>
      </c>
      <c r="F23" s="125" t="s">
        <v>51</v>
      </c>
      <c r="G23" s="126">
        <v>42087</v>
      </c>
      <c r="H23" s="126">
        <v>42115</v>
      </c>
      <c r="I23" s="126">
        <v>42129</v>
      </c>
      <c r="J23" s="126">
        <v>42142</v>
      </c>
      <c r="K23" s="129" t="s">
        <v>49</v>
      </c>
      <c r="L23" s="129" t="s">
        <v>49</v>
      </c>
      <c r="M23" s="126">
        <v>42314</v>
      </c>
      <c r="N23" s="129" t="s">
        <v>49</v>
      </c>
      <c r="O23" s="129" t="s">
        <v>49</v>
      </c>
      <c r="P23" s="129" t="s">
        <v>49</v>
      </c>
      <c r="Q23" s="129"/>
      <c r="R23" s="129" t="s">
        <v>49</v>
      </c>
      <c r="S23" s="129" t="s">
        <v>49</v>
      </c>
      <c r="T23" s="129"/>
      <c r="U23" s="126" t="s">
        <v>21</v>
      </c>
      <c r="V23" s="145"/>
    </row>
    <row r="24" spans="1:22" ht="24" customHeight="1">
      <c r="A24" s="404">
        <v>9</v>
      </c>
      <c r="B24" s="411" t="s">
        <v>81</v>
      </c>
      <c r="C24" s="88" t="s">
        <v>4</v>
      </c>
      <c r="D24" s="95">
        <v>75000</v>
      </c>
      <c r="E24" s="90" t="s">
        <v>48</v>
      </c>
      <c r="F24" s="90" t="s">
        <v>51</v>
      </c>
      <c r="G24" s="91">
        <v>41772</v>
      </c>
      <c r="H24" s="91">
        <v>41784</v>
      </c>
      <c r="I24" s="91">
        <f>+H24+7</f>
        <v>41791</v>
      </c>
      <c r="J24" s="91">
        <f>+I24+14</f>
        <v>41805</v>
      </c>
      <c r="K24" s="91" t="s">
        <v>49</v>
      </c>
      <c r="L24" s="91" t="s">
        <v>49</v>
      </c>
      <c r="M24" s="91">
        <f>I24+84</f>
        <v>41875</v>
      </c>
      <c r="N24" s="91" t="s">
        <v>49</v>
      </c>
      <c r="O24" s="91" t="s">
        <v>49</v>
      </c>
      <c r="P24" s="91" t="s">
        <v>49</v>
      </c>
      <c r="Q24" s="91">
        <f>I24+60</f>
        <v>41851</v>
      </c>
      <c r="R24" s="91" t="s">
        <v>49</v>
      </c>
      <c r="S24" s="91" t="s">
        <v>49</v>
      </c>
      <c r="T24" s="91">
        <f>Q24+14</f>
        <v>41865</v>
      </c>
      <c r="U24" s="91" t="s">
        <v>26</v>
      </c>
      <c r="V24" s="1"/>
    </row>
    <row r="25" spans="1:22" s="146" customFormat="1" ht="24" customHeight="1">
      <c r="A25" s="404"/>
      <c r="B25" s="411"/>
      <c r="C25" s="123" t="s">
        <v>5</v>
      </c>
      <c r="D25" s="209">
        <v>156285</v>
      </c>
      <c r="E25" s="125" t="s">
        <v>48</v>
      </c>
      <c r="F25" s="125" t="s">
        <v>51</v>
      </c>
      <c r="G25" s="126">
        <v>41697</v>
      </c>
      <c r="H25" s="126">
        <v>41764</v>
      </c>
      <c r="I25" s="126">
        <v>41719</v>
      </c>
      <c r="J25" s="126">
        <v>41733</v>
      </c>
      <c r="K25" s="129" t="s">
        <v>49</v>
      </c>
      <c r="L25" s="129" t="s">
        <v>49</v>
      </c>
      <c r="M25" s="126">
        <v>41935</v>
      </c>
      <c r="N25" s="129" t="s">
        <v>49</v>
      </c>
      <c r="O25" s="129" t="s">
        <v>49</v>
      </c>
      <c r="P25" s="129" t="s">
        <v>49</v>
      </c>
      <c r="Q25" s="126">
        <v>41976</v>
      </c>
      <c r="R25" s="129" t="s">
        <v>49</v>
      </c>
      <c r="S25" s="129" t="s">
        <v>49</v>
      </c>
      <c r="T25" s="126">
        <v>41982</v>
      </c>
      <c r="U25" s="126" t="s">
        <v>54</v>
      </c>
      <c r="V25" s="145"/>
    </row>
    <row r="26" spans="1:22" ht="24" customHeight="1">
      <c r="A26" s="404">
        <v>10</v>
      </c>
      <c r="B26" s="410" t="s">
        <v>80</v>
      </c>
      <c r="C26" s="88" t="s">
        <v>4</v>
      </c>
      <c r="D26" s="95">
        <v>560000</v>
      </c>
      <c r="E26" s="90" t="s">
        <v>0</v>
      </c>
      <c r="F26" s="90" t="s">
        <v>52</v>
      </c>
      <c r="G26" s="91">
        <v>41348</v>
      </c>
      <c r="H26" s="91">
        <v>41498</v>
      </c>
      <c r="I26" s="91">
        <f>+H26+7</f>
        <v>41505</v>
      </c>
      <c r="J26" s="91">
        <f>+I26+14</f>
        <v>41519</v>
      </c>
      <c r="K26" s="91">
        <f>J26+7+30</f>
        <v>41556</v>
      </c>
      <c r="L26" s="91">
        <f>+K26+7</f>
        <v>41563</v>
      </c>
      <c r="M26" s="91">
        <f>+L26+56</f>
        <v>41619</v>
      </c>
      <c r="N26" s="91">
        <f>+M26+7</f>
        <v>41626</v>
      </c>
      <c r="O26" s="91">
        <v>41725</v>
      </c>
      <c r="P26" s="91">
        <f>+O26+21</f>
        <v>41746</v>
      </c>
      <c r="Q26" s="91">
        <f>P26+14</f>
        <v>41760</v>
      </c>
      <c r="R26" s="91">
        <f>+Q26+7</f>
        <v>41767</v>
      </c>
      <c r="S26" s="91">
        <f>+R26+7</f>
        <v>41774</v>
      </c>
      <c r="T26" s="91">
        <f>+S26+14</f>
        <v>41788</v>
      </c>
      <c r="U26" s="91" t="s">
        <v>21</v>
      </c>
      <c r="V26" s="1"/>
    </row>
    <row r="27" spans="1:22" s="146" customFormat="1" ht="24" customHeight="1">
      <c r="A27" s="404"/>
      <c r="B27" s="410"/>
      <c r="C27" s="123" t="s">
        <v>5</v>
      </c>
      <c r="D27" s="131">
        <v>1174407.6196787355</v>
      </c>
      <c r="E27" s="125" t="s">
        <v>0</v>
      </c>
      <c r="F27" s="125" t="s">
        <v>52</v>
      </c>
      <c r="G27" s="126">
        <v>41348</v>
      </c>
      <c r="H27" s="126">
        <v>41484</v>
      </c>
      <c r="I27" s="126">
        <v>41501</v>
      </c>
      <c r="J27" s="126">
        <v>41519</v>
      </c>
      <c r="K27" s="126">
        <v>41554</v>
      </c>
      <c r="L27" s="126">
        <v>41968</v>
      </c>
      <c r="M27" s="126">
        <v>41669</v>
      </c>
      <c r="N27" s="126">
        <v>41711</v>
      </c>
      <c r="O27" s="126">
        <v>41780</v>
      </c>
      <c r="P27" s="126">
        <v>41801</v>
      </c>
      <c r="Q27" s="127">
        <v>41844</v>
      </c>
      <c r="R27" s="127">
        <v>41851</v>
      </c>
      <c r="S27" s="127">
        <v>41920</v>
      </c>
      <c r="T27" s="127">
        <v>41933</v>
      </c>
      <c r="U27" s="126" t="s">
        <v>21</v>
      </c>
      <c r="V27" s="145"/>
    </row>
    <row r="28" spans="1:22" s="18" customFormat="1" ht="27.75" customHeight="1">
      <c r="A28" s="389">
        <v>11</v>
      </c>
      <c r="B28" s="410" t="s">
        <v>281</v>
      </c>
      <c r="C28" s="88" t="s">
        <v>4</v>
      </c>
      <c r="D28" s="89">
        <v>500000</v>
      </c>
      <c r="E28" s="90" t="s">
        <v>0</v>
      </c>
      <c r="F28" s="90" t="s">
        <v>51</v>
      </c>
      <c r="G28" s="91">
        <v>42224</v>
      </c>
      <c r="H28" s="91">
        <f>+G28+14</f>
        <v>42238</v>
      </c>
      <c r="I28" s="91">
        <f>+H28+7</f>
        <v>42245</v>
      </c>
      <c r="J28" s="91">
        <f>+I28+14</f>
        <v>42259</v>
      </c>
      <c r="K28" s="91" t="s">
        <v>49</v>
      </c>
      <c r="L28" s="91" t="s">
        <v>49</v>
      </c>
      <c r="M28" s="91">
        <f>J28+56+14</f>
        <v>42329</v>
      </c>
      <c r="N28" s="91" t="s">
        <v>49</v>
      </c>
      <c r="O28" s="91" t="s">
        <v>49</v>
      </c>
      <c r="P28" s="91" t="s">
        <v>49</v>
      </c>
      <c r="Q28" s="91">
        <f>M28+56</f>
        <v>42385</v>
      </c>
      <c r="R28" s="91" t="s">
        <v>49</v>
      </c>
      <c r="S28" s="91" t="s">
        <v>49</v>
      </c>
      <c r="T28" s="91">
        <f>Q28+28</f>
        <v>42413</v>
      </c>
      <c r="U28" s="91" t="s">
        <v>26</v>
      </c>
      <c r="V28" s="43"/>
    </row>
    <row r="29" spans="1:22" s="18" customFormat="1" ht="33" customHeight="1">
      <c r="A29" s="389"/>
      <c r="B29" s="410"/>
      <c r="C29" s="123" t="s">
        <v>5</v>
      </c>
      <c r="D29" s="209">
        <v>0</v>
      </c>
      <c r="E29" s="125"/>
      <c r="F29" s="125"/>
      <c r="G29" s="126"/>
      <c r="H29" s="126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16"/>
      <c r="V29" s="43"/>
    </row>
    <row r="30" spans="1:22" ht="15.75" customHeight="1">
      <c r="A30" s="404">
        <v>13</v>
      </c>
      <c r="B30" s="411" t="s">
        <v>191</v>
      </c>
      <c r="C30" s="88" t="s">
        <v>4</v>
      </c>
      <c r="D30" s="95">
        <v>25000</v>
      </c>
      <c r="E30" s="90" t="s">
        <v>0</v>
      </c>
      <c r="F30" s="90" t="s">
        <v>51</v>
      </c>
      <c r="G30" s="91">
        <v>41115</v>
      </c>
      <c r="H30" s="91">
        <f>+G30+14</f>
        <v>41129</v>
      </c>
      <c r="I30" s="91">
        <f>+H30+7</f>
        <v>41136</v>
      </c>
      <c r="J30" s="91">
        <f>I30+7</f>
        <v>41143</v>
      </c>
      <c r="K30" s="91" t="s">
        <v>49</v>
      </c>
      <c r="L30" s="91" t="s">
        <v>49</v>
      </c>
      <c r="M30" s="91">
        <f>I30+84</f>
        <v>41220</v>
      </c>
      <c r="N30" s="91" t="s">
        <v>49</v>
      </c>
      <c r="O30" s="91" t="s">
        <v>49</v>
      </c>
      <c r="P30" s="91" t="s">
        <v>49</v>
      </c>
      <c r="Q30" s="91">
        <f>M31+77</f>
        <v>41389</v>
      </c>
      <c r="R30" s="91" t="s">
        <v>49</v>
      </c>
      <c r="S30" s="91" t="s">
        <v>49</v>
      </c>
      <c r="T30" s="91">
        <f>Q30+14</f>
        <v>41403</v>
      </c>
      <c r="U30" s="91" t="s">
        <v>21</v>
      </c>
      <c r="V30" s="1"/>
    </row>
    <row r="31" spans="1:22" ht="15.75" customHeight="1">
      <c r="A31" s="404"/>
      <c r="B31" s="411"/>
      <c r="C31" s="123" t="s">
        <v>5</v>
      </c>
      <c r="D31" s="131">
        <v>24800</v>
      </c>
      <c r="E31" s="125" t="s">
        <v>0</v>
      </c>
      <c r="F31" s="125" t="s">
        <v>51</v>
      </c>
      <c r="G31" s="126">
        <v>41092</v>
      </c>
      <c r="H31" s="126">
        <v>41164</v>
      </c>
      <c r="I31" s="126">
        <v>41169</v>
      </c>
      <c r="J31" s="126">
        <v>41185</v>
      </c>
      <c r="K31" s="126" t="s">
        <v>49</v>
      </c>
      <c r="L31" s="126" t="s">
        <v>49</v>
      </c>
      <c r="M31" s="126">
        <v>41312</v>
      </c>
      <c r="N31" s="126" t="s">
        <v>49</v>
      </c>
      <c r="O31" s="126" t="s">
        <v>49</v>
      </c>
      <c r="P31" s="126" t="s">
        <v>49</v>
      </c>
      <c r="Q31" s="126">
        <v>41460</v>
      </c>
      <c r="R31" s="129" t="s">
        <v>49</v>
      </c>
      <c r="S31" s="129" t="s">
        <v>49</v>
      </c>
      <c r="T31" s="126">
        <v>41477</v>
      </c>
      <c r="U31" s="126" t="s">
        <v>21</v>
      </c>
      <c r="V31" s="1"/>
    </row>
    <row r="32" spans="1:22" ht="31.5" customHeight="1">
      <c r="A32" s="404">
        <v>14</v>
      </c>
      <c r="B32" s="410" t="s">
        <v>193</v>
      </c>
      <c r="C32" s="88" t="s">
        <v>4</v>
      </c>
      <c r="D32" s="95">
        <v>100000</v>
      </c>
      <c r="E32" s="90" t="s">
        <v>0</v>
      </c>
      <c r="F32" s="90" t="s">
        <v>51</v>
      </c>
      <c r="G32" s="91">
        <v>41881</v>
      </c>
      <c r="H32" s="91">
        <f>+G32+14</f>
        <v>41895</v>
      </c>
      <c r="I32" s="91">
        <f>+H32+7</f>
        <v>41902</v>
      </c>
      <c r="J32" s="91">
        <f>I32+7</f>
        <v>41909</v>
      </c>
      <c r="K32" s="91" t="s">
        <v>49</v>
      </c>
      <c r="L32" s="91" t="s">
        <v>49</v>
      </c>
      <c r="M32" s="91">
        <f>I32+84</f>
        <v>41986</v>
      </c>
      <c r="N32" s="91" t="s">
        <v>49</v>
      </c>
      <c r="O32" s="91" t="s">
        <v>49</v>
      </c>
      <c r="P32" s="91" t="s">
        <v>49</v>
      </c>
      <c r="Q32" s="91">
        <f>I32+60</f>
        <v>41962</v>
      </c>
      <c r="R32" s="91" t="s">
        <v>49</v>
      </c>
      <c r="S32" s="91" t="s">
        <v>49</v>
      </c>
      <c r="T32" s="91">
        <f>Q32+14</f>
        <v>41976</v>
      </c>
      <c r="U32" s="91" t="s">
        <v>21</v>
      </c>
      <c r="V32" s="1"/>
    </row>
    <row r="33" spans="1:22" ht="31.5" customHeight="1">
      <c r="A33" s="404"/>
      <c r="B33" s="410"/>
      <c r="C33" s="123" t="s">
        <v>5</v>
      </c>
      <c r="D33" s="131">
        <v>0</v>
      </c>
      <c r="E33" s="125" t="s">
        <v>0</v>
      </c>
      <c r="F33" s="125" t="s">
        <v>51</v>
      </c>
      <c r="G33" s="126">
        <v>41919</v>
      </c>
      <c r="H33" s="126">
        <v>41870</v>
      </c>
      <c r="I33" s="126">
        <v>41940</v>
      </c>
      <c r="J33" s="126">
        <v>41926</v>
      </c>
      <c r="K33" s="129" t="s">
        <v>49</v>
      </c>
      <c r="L33" s="129" t="s">
        <v>49</v>
      </c>
      <c r="M33" s="126">
        <v>42121</v>
      </c>
      <c r="N33" s="126" t="s">
        <v>49</v>
      </c>
      <c r="O33" s="126" t="s">
        <v>49</v>
      </c>
      <c r="P33" s="126" t="s">
        <v>49</v>
      </c>
      <c r="Q33" s="127">
        <v>42208</v>
      </c>
      <c r="R33" s="129" t="s">
        <v>49</v>
      </c>
      <c r="S33" s="129" t="s">
        <v>49</v>
      </c>
      <c r="T33" s="129"/>
      <c r="U33" s="120" t="s">
        <v>57</v>
      </c>
      <c r="V33" s="1"/>
    </row>
    <row r="34" spans="1:22" ht="19.5" customHeight="1">
      <c r="A34" s="404">
        <v>18</v>
      </c>
      <c r="B34" s="424" t="s">
        <v>234</v>
      </c>
      <c r="C34" s="88" t="s">
        <v>4</v>
      </c>
      <c r="D34" s="95">
        <v>600000</v>
      </c>
      <c r="E34" s="90" t="s">
        <v>0</v>
      </c>
      <c r="F34" s="90" t="s">
        <v>52</v>
      </c>
      <c r="G34" s="91">
        <v>41797</v>
      </c>
      <c r="H34" s="91">
        <f>+G34+14</f>
        <v>41811</v>
      </c>
      <c r="I34" s="91">
        <f>+H34+7</f>
        <v>41818</v>
      </c>
      <c r="J34" s="91">
        <f>+I34+14</f>
        <v>41832</v>
      </c>
      <c r="K34" s="91">
        <f>J34+7</f>
        <v>41839</v>
      </c>
      <c r="L34" s="91">
        <f>K34+7</f>
        <v>41846</v>
      </c>
      <c r="M34" s="91">
        <f>J34+56</f>
        <v>41888</v>
      </c>
      <c r="N34" s="91">
        <f>M34+7</f>
        <v>41895</v>
      </c>
      <c r="O34" s="91">
        <f>N34+14</f>
        <v>41909</v>
      </c>
      <c r="P34" s="91">
        <f>O34+21</f>
        <v>41930</v>
      </c>
      <c r="Q34" s="91">
        <f>M34+56</f>
        <v>41944</v>
      </c>
      <c r="R34" s="91">
        <f>Q34+7</f>
        <v>41951</v>
      </c>
      <c r="S34" s="91">
        <f>R34+7</f>
        <v>41958</v>
      </c>
      <c r="T34" s="91">
        <f>Q34+28</f>
        <v>41972</v>
      </c>
      <c r="U34" s="91" t="s">
        <v>57</v>
      </c>
      <c r="V34" s="1"/>
    </row>
    <row r="35" spans="1:22" s="146" customFormat="1" ht="19.5" customHeight="1">
      <c r="A35" s="404"/>
      <c r="B35" s="425"/>
      <c r="C35" s="123" t="s">
        <v>5</v>
      </c>
      <c r="D35" s="131">
        <v>668732</v>
      </c>
      <c r="E35" s="125" t="s">
        <v>0</v>
      </c>
      <c r="F35" s="125" t="s">
        <v>52</v>
      </c>
      <c r="G35" s="126">
        <v>41801</v>
      </c>
      <c r="H35" s="126">
        <v>41806</v>
      </c>
      <c r="I35" s="126">
        <v>41810</v>
      </c>
      <c r="J35" s="126">
        <v>41827</v>
      </c>
      <c r="K35" s="126">
        <v>41848</v>
      </c>
      <c r="L35" s="126">
        <v>41857</v>
      </c>
      <c r="M35" s="126">
        <v>41914</v>
      </c>
      <c r="N35" s="126">
        <v>41946</v>
      </c>
      <c r="O35" s="126">
        <v>42039</v>
      </c>
      <c r="P35" s="126">
        <v>42052</v>
      </c>
      <c r="Q35" s="126">
        <v>42058</v>
      </c>
      <c r="R35" s="126">
        <v>42058</v>
      </c>
      <c r="S35" s="126">
        <v>42074</v>
      </c>
      <c r="T35" s="126">
        <v>42079</v>
      </c>
      <c r="U35" s="120" t="s">
        <v>300</v>
      </c>
      <c r="V35" s="145"/>
    </row>
    <row r="36" spans="1:22" ht="19.5" customHeight="1">
      <c r="A36" s="404">
        <v>19</v>
      </c>
      <c r="B36" s="407" t="s">
        <v>212</v>
      </c>
      <c r="C36" s="88" t="s">
        <v>4</v>
      </c>
      <c r="D36" s="95">
        <v>360000</v>
      </c>
      <c r="E36" s="90" t="s">
        <v>0</v>
      </c>
      <c r="F36" s="90" t="s">
        <v>52</v>
      </c>
      <c r="G36" s="91">
        <v>41394</v>
      </c>
      <c r="H36" s="91">
        <v>41478</v>
      </c>
      <c r="I36" s="91">
        <f>+H36+7</f>
        <v>41485</v>
      </c>
      <c r="J36" s="91">
        <f>+I36+14</f>
        <v>41499</v>
      </c>
      <c r="K36" s="91">
        <f>J36+7+60</f>
        <v>41566</v>
      </c>
      <c r="L36" s="91">
        <f>+K36+7</f>
        <v>41573</v>
      </c>
      <c r="M36" s="91">
        <v>41789</v>
      </c>
      <c r="N36" s="91">
        <f>+M36+7</f>
        <v>41796</v>
      </c>
      <c r="O36" s="91">
        <f>+N36+14</f>
        <v>41810</v>
      </c>
      <c r="P36" s="91">
        <f>+O36+21</f>
        <v>41831</v>
      </c>
      <c r="Q36" s="91">
        <f>P36+14</f>
        <v>41845</v>
      </c>
      <c r="R36" s="91">
        <f>+Q36+7</f>
        <v>41852</v>
      </c>
      <c r="S36" s="91">
        <f>+R36+7</f>
        <v>41859</v>
      </c>
      <c r="T36" s="91">
        <f>+S36+14</f>
        <v>41873</v>
      </c>
      <c r="U36" s="91" t="s">
        <v>57</v>
      </c>
      <c r="V36" s="1"/>
    </row>
    <row r="37" spans="1:22" ht="19.5" customHeight="1">
      <c r="A37" s="404"/>
      <c r="B37" s="408"/>
      <c r="C37" s="123" t="s">
        <v>5</v>
      </c>
      <c r="D37" s="131">
        <v>549753.86</v>
      </c>
      <c r="E37" s="125" t="s">
        <v>0</v>
      </c>
      <c r="F37" s="125" t="s">
        <v>52</v>
      </c>
      <c r="G37" s="126">
        <v>41348</v>
      </c>
      <c r="H37" s="126">
        <v>41484</v>
      </c>
      <c r="I37" s="126">
        <v>41499</v>
      </c>
      <c r="J37" s="126">
        <v>41516</v>
      </c>
      <c r="K37" s="126">
        <v>41591</v>
      </c>
      <c r="L37" s="126">
        <v>41617</v>
      </c>
      <c r="M37" s="126">
        <v>41766</v>
      </c>
      <c r="N37" s="126">
        <v>41857</v>
      </c>
      <c r="O37" s="126">
        <v>41883</v>
      </c>
      <c r="P37" s="126">
        <v>41935</v>
      </c>
      <c r="Q37" s="126">
        <v>41975</v>
      </c>
      <c r="R37" s="126">
        <v>41991</v>
      </c>
      <c r="S37" s="126">
        <v>42030</v>
      </c>
      <c r="T37" s="126">
        <v>42034</v>
      </c>
      <c r="U37" s="120" t="s">
        <v>66</v>
      </c>
      <c r="V37" s="1"/>
    </row>
    <row r="38" spans="1:22" ht="19.5" customHeight="1">
      <c r="A38" s="409">
        <v>21</v>
      </c>
      <c r="B38" s="411" t="s">
        <v>78</v>
      </c>
      <c r="C38" s="88" t="s">
        <v>4</v>
      </c>
      <c r="D38" s="95">
        <v>500000</v>
      </c>
      <c r="E38" s="90" t="s">
        <v>0</v>
      </c>
      <c r="F38" s="90" t="s">
        <v>52</v>
      </c>
      <c r="G38" s="91">
        <v>41096</v>
      </c>
      <c r="H38" s="91">
        <f>+G38+14</f>
        <v>41110</v>
      </c>
      <c r="I38" s="91">
        <f>+H38+7</f>
        <v>41117</v>
      </c>
      <c r="J38" s="91">
        <f>+I38+14</f>
        <v>41131</v>
      </c>
      <c r="K38" s="91">
        <f>J38+7</f>
        <v>41138</v>
      </c>
      <c r="L38" s="91">
        <f>+K38+7</f>
        <v>41145</v>
      </c>
      <c r="M38" s="91">
        <f>+L38+56</f>
        <v>41201</v>
      </c>
      <c r="N38" s="91">
        <f>N39</f>
        <v>41470</v>
      </c>
      <c r="O38" s="91">
        <f>+N38+14</f>
        <v>41484</v>
      </c>
      <c r="P38" s="91">
        <f>+O38+21</f>
        <v>41505</v>
      </c>
      <c r="Q38" s="91">
        <f>P38+14</f>
        <v>41519</v>
      </c>
      <c r="R38" s="91">
        <f>+Q38+7</f>
        <v>41526</v>
      </c>
      <c r="S38" s="91">
        <f>+R38+7</f>
        <v>41533</v>
      </c>
      <c r="T38" s="91">
        <f>+S38+14</f>
        <v>41547</v>
      </c>
      <c r="U38" s="91" t="s">
        <v>21</v>
      </c>
      <c r="V38" s="1"/>
    </row>
    <row r="39" spans="1:22" ht="19.5" customHeight="1">
      <c r="A39" s="409"/>
      <c r="B39" s="411"/>
      <c r="C39" s="123" t="s">
        <v>5</v>
      </c>
      <c r="D39" s="131">
        <v>475983</v>
      </c>
      <c r="E39" s="125" t="s">
        <v>0</v>
      </c>
      <c r="F39" s="125" t="s">
        <v>52</v>
      </c>
      <c r="G39" s="126">
        <v>41067</v>
      </c>
      <c r="H39" s="126">
        <v>41067</v>
      </c>
      <c r="I39" s="126">
        <v>41073</v>
      </c>
      <c r="J39" s="126">
        <v>41088</v>
      </c>
      <c r="K39" s="126">
        <v>41210</v>
      </c>
      <c r="L39" s="126">
        <v>41211</v>
      </c>
      <c r="M39" s="126">
        <v>41327</v>
      </c>
      <c r="N39" s="126">
        <v>41470</v>
      </c>
      <c r="O39" s="126">
        <v>41499</v>
      </c>
      <c r="P39" s="126">
        <v>41527</v>
      </c>
      <c r="Q39" s="126">
        <v>41562</v>
      </c>
      <c r="R39" s="126">
        <v>41569</v>
      </c>
      <c r="S39" s="126">
        <v>41702</v>
      </c>
      <c r="T39" s="126">
        <v>41751</v>
      </c>
      <c r="U39" s="120" t="s">
        <v>245</v>
      </c>
      <c r="V39" s="1"/>
    </row>
    <row r="40" spans="1:22" s="18" customFormat="1" ht="19.5" customHeight="1">
      <c r="A40" s="412">
        <v>22</v>
      </c>
      <c r="B40" s="410" t="s">
        <v>73</v>
      </c>
      <c r="C40" s="88" t="s">
        <v>4</v>
      </c>
      <c r="D40" s="89">
        <v>600000</v>
      </c>
      <c r="E40" s="90" t="s">
        <v>0</v>
      </c>
      <c r="F40" s="90" t="s">
        <v>52</v>
      </c>
      <c r="G40" s="91">
        <v>41394</v>
      </c>
      <c r="H40" s="91">
        <v>41601</v>
      </c>
      <c r="I40" s="91">
        <f>+H40+7</f>
        <v>41608</v>
      </c>
      <c r="J40" s="91">
        <f>+I40+14</f>
        <v>41622</v>
      </c>
      <c r="K40" s="91">
        <f>J40+7</f>
        <v>41629</v>
      </c>
      <c r="L40" s="91">
        <v>41759</v>
      </c>
      <c r="M40" s="91">
        <f>+L40+56</f>
        <v>41815</v>
      </c>
      <c r="N40" s="91">
        <f>+M40+7</f>
        <v>41822</v>
      </c>
      <c r="O40" s="91">
        <f>+N40+14</f>
        <v>41836</v>
      </c>
      <c r="P40" s="91">
        <f>+O40+21</f>
        <v>41857</v>
      </c>
      <c r="Q40" s="91">
        <f>P40+14</f>
        <v>41871</v>
      </c>
      <c r="R40" s="91">
        <f>+Q40+7</f>
        <v>41878</v>
      </c>
      <c r="S40" s="91">
        <f>+R40+7</f>
        <v>41885</v>
      </c>
      <c r="T40" s="91">
        <f>+S40+14</f>
        <v>41899</v>
      </c>
      <c r="U40" s="91" t="s">
        <v>27</v>
      </c>
      <c r="V40" s="43"/>
    </row>
    <row r="41" spans="1:22" s="18" customFormat="1" ht="19.5" customHeight="1">
      <c r="A41" s="412"/>
      <c r="B41" s="410"/>
      <c r="C41" s="123" t="s">
        <v>5</v>
      </c>
      <c r="D41" s="209">
        <v>0</v>
      </c>
      <c r="E41" s="125" t="s">
        <v>0</v>
      </c>
      <c r="F41" s="125" t="s">
        <v>52</v>
      </c>
      <c r="G41" s="126">
        <v>41369</v>
      </c>
      <c r="H41" s="126">
        <v>41661</v>
      </c>
      <c r="I41" s="126">
        <v>41668</v>
      </c>
      <c r="J41" s="126">
        <v>41683</v>
      </c>
      <c r="K41" s="126">
        <v>41733</v>
      </c>
      <c r="L41" s="126">
        <v>41759</v>
      </c>
      <c r="M41" s="126">
        <v>41939</v>
      </c>
      <c r="N41" s="126">
        <v>41991</v>
      </c>
      <c r="O41" s="366"/>
      <c r="P41" s="366"/>
      <c r="Q41" s="366"/>
      <c r="R41" s="366"/>
      <c r="S41" s="366"/>
      <c r="T41" s="366"/>
      <c r="U41" s="367"/>
      <c r="V41" s="43"/>
    </row>
    <row r="42" spans="1:22" ht="19.5" customHeight="1">
      <c r="A42" s="409">
        <v>23</v>
      </c>
      <c r="B42" s="410" t="s">
        <v>213</v>
      </c>
      <c r="C42" s="88" t="s">
        <v>4</v>
      </c>
      <c r="D42" s="95">
        <v>650000</v>
      </c>
      <c r="E42" s="90" t="s">
        <v>0</v>
      </c>
      <c r="F42" s="90" t="s">
        <v>52</v>
      </c>
      <c r="G42" s="91">
        <v>41669</v>
      </c>
      <c r="H42" s="91">
        <f>G42+7</f>
        <v>41676</v>
      </c>
      <c r="I42" s="91">
        <f>+H42+7</f>
        <v>41683</v>
      </c>
      <c r="J42" s="91">
        <f>+I42+14</f>
        <v>41697</v>
      </c>
      <c r="K42" s="91">
        <f>J42+7</f>
        <v>41704</v>
      </c>
      <c r="L42" s="91">
        <f>+K42+7</f>
        <v>41711</v>
      </c>
      <c r="M42" s="91">
        <f>+L42+56</f>
        <v>41767</v>
      </c>
      <c r="N42" s="91">
        <f>+M42+7</f>
        <v>41774</v>
      </c>
      <c r="O42" s="91">
        <f>+N42+14</f>
        <v>41788</v>
      </c>
      <c r="P42" s="91">
        <f>+O42+21</f>
        <v>41809</v>
      </c>
      <c r="Q42" s="91">
        <f>P42+14</f>
        <v>41823</v>
      </c>
      <c r="R42" s="91">
        <f>+Q42+7</f>
        <v>41830</v>
      </c>
      <c r="S42" s="91">
        <f>+R42+7</f>
        <v>41837</v>
      </c>
      <c r="T42" s="91">
        <f>+S42+14</f>
        <v>41851</v>
      </c>
      <c r="U42" s="91" t="s">
        <v>21</v>
      </c>
      <c r="V42" s="1"/>
    </row>
    <row r="43" spans="1:22" s="146" customFormat="1" ht="19.5" customHeight="1">
      <c r="A43" s="409"/>
      <c r="B43" s="410"/>
      <c r="C43" s="123" t="s">
        <v>5</v>
      </c>
      <c r="D43" s="131">
        <v>716010</v>
      </c>
      <c r="E43" s="125" t="s">
        <v>0</v>
      </c>
      <c r="F43" s="125" t="s">
        <v>52</v>
      </c>
      <c r="G43" s="126">
        <v>41680</v>
      </c>
      <c r="H43" s="126">
        <v>41705</v>
      </c>
      <c r="I43" s="126">
        <v>41719</v>
      </c>
      <c r="J43" s="126">
        <v>41733</v>
      </c>
      <c r="K43" s="126">
        <v>41782</v>
      </c>
      <c r="L43" s="126">
        <v>41831</v>
      </c>
      <c r="M43" s="126">
        <v>41933</v>
      </c>
      <c r="N43" s="126">
        <v>41976</v>
      </c>
      <c r="O43" s="126">
        <v>42080</v>
      </c>
      <c r="P43" s="126">
        <v>42090</v>
      </c>
      <c r="Q43" s="126">
        <v>42094</v>
      </c>
      <c r="R43" s="126">
        <v>42109</v>
      </c>
      <c r="S43" s="126">
        <v>42116</v>
      </c>
      <c r="T43" s="126">
        <v>42118</v>
      </c>
      <c r="U43" s="126" t="s">
        <v>21</v>
      </c>
      <c r="V43" s="38"/>
    </row>
    <row r="44" spans="1:22" s="18" customFormat="1" ht="19.5" customHeight="1">
      <c r="A44" s="389">
        <v>24</v>
      </c>
      <c r="B44" s="407" t="s">
        <v>116</v>
      </c>
      <c r="C44" s="88" t="s">
        <v>4</v>
      </c>
      <c r="D44" s="89">
        <v>685000</v>
      </c>
      <c r="E44" s="90" t="s">
        <v>0</v>
      </c>
      <c r="F44" s="90" t="s">
        <v>52</v>
      </c>
      <c r="G44" s="91">
        <v>41638</v>
      </c>
      <c r="H44" s="91">
        <f>+G44+14</f>
        <v>41652</v>
      </c>
      <c r="I44" s="91">
        <f>+H44+7</f>
        <v>41659</v>
      </c>
      <c r="J44" s="91">
        <f>+I44+14</f>
        <v>41673</v>
      </c>
      <c r="K44" s="91">
        <f>J44+7</f>
        <v>41680</v>
      </c>
      <c r="L44" s="91">
        <f>+K44+7</f>
        <v>41687</v>
      </c>
      <c r="M44" s="91">
        <f>+L44+56</f>
        <v>41743</v>
      </c>
      <c r="N44" s="91">
        <f>+M44+7</f>
        <v>41750</v>
      </c>
      <c r="O44" s="91">
        <f>+N44+14</f>
        <v>41764</v>
      </c>
      <c r="P44" s="91">
        <f>+O44+21</f>
        <v>41785</v>
      </c>
      <c r="Q44" s="91">
        <f>P44+14</f>
        <v>41799</v>
      </c>
      <c r="R44" s="91">
        <f>+Q44+7</f>
        <v>41806</v>
      </c>
      <c r="S44" s="91">
        <f>+R44+7</f>
        <v>41813</v>
      </c>
      <c r="T44" s="91">
        <v>42050</v>
      </c>
      <c r="U44" s="91" t="s">
        <v>27</v>
      </c>
      <c r="V44" s="43"/>
    </row>
    <row r="45" spans="1:22" s="211" customFormat="1" ht="19.5" customHeight="1">
      <c r="A45" s="389"/>
      <c r="B45" s="408"/>
      <c r="C45" s="123" t="s">
        <v>5</v>
      </c>
      <c r="D45" s="209">
        <v>1345084.9</v>
      </c>
      <c r="E45" s="125" t="s">
        <v>0</v>
      </c>
      <c r="F45" s="125" t="s">
        <v>52</v>
      </c>
      <c r="G45" s="126">
        <v>41628</v>
      </c>
      <c r="H45" s="126">
        <v>41628</v>
      </c>
      <c r="I45" s="126">
        <v>41652</v>
      </c>
      <c r="J45" s="126">
        <v>41666</v>
      </c>
      <c r="K45" s="126">
        <v>41701</v>
      </c>
      <c r="L45" s="126">
        <v>41716</v>
      </c>
      <c r="M45" s="126">
        <v>41844</v>
      </c>
      <c r="N45" s="126">
        <v>41794</v>
      </c>
      <c r="O45" s="126">
        <v>41963</v>
      </c>
      <c r="P45" s="126">
        <v>42010</v>
      </c>
      <c r="Q45" s="126">
        <v>41984</v>
      </c>
      <c r="R45" s="126">
        <v>42032</v>
      </c>
      <c r="S45" s="126">
        <v>42037</v>
      </c>
      <c r="T45" s="126">
        <v>42065</v>
      </c>
      <c r="U45" s="126" t="s">
        <v>21</v>
      </c>
      <c r="V45" s="210"/>
    </row>
    <row r="46" spans="1:22" ht="19.5" customHeight="1">
      <c r="A46" s="389">
        <v>25</v>
      </c>
      <c r="B46" s="407" t="s">
        <v>189</v>
      </c>
      <c r="C46" s="88" t="s">
        <v>4</v>
      </c>
      <c r="D46" s="95">
        <v>400000</v>
      </c>
      <c r="E46" s="90" t="s">
        <v>0</v>
      </c>
      <c r="F46" s="90" t="s">
        <v>52</v>
      </c>
      <c r="G46" s="91">
        <v>41578</v>
      </c>
      <c r="H46" s="91">
        <f>+G46+14</f>
        <v>41592</v>
      </c>
      <c r="I46" s="91">
        <f>+H46+7</f>
        <v>41599</v>
      </c>
      <c r="J46" s="91">
        <f>+I46+14</f>
        <v>41613</v>
      </c>
      <c r="K46" s="91">
        <f>J46+7</f>
        <v>41620</v>
      </c>
      <c r="L46" s="91">
        <v>41729</v>
      </c>
      <c r="M46" s="91">
        <f>+L46+56</f>
        <v>41785</v>
      </c>
      <c r="N46" s="91">
        <f>+M46+7</f>
        <v>41792</v>
      </c>
      <c r="O46" s="91">
        <f>+N46+14</f>
        <v>41806</v>
      </c>
      <c r="P46" s="91">
        <f>+O46+21</f>
        <v>41827</v>
      </c>
      <c r="Q46" s="91">
        <f>P46+14</f>
        <v>41841</v>
      </c>
      <c r="R46" s="91">
        <f>+Q46+7</f>
        <v>41848</v>
      </c>
      <c r="S46" s="91">
        <f>+R46+7</f>
        <v>41855</v>
      </c>
      <c r="T46" s="91">
        <f>+S46+14</f>
        <v>41869</v>
      </c>
      <c r="U46" s="91" t="s">
        <v>27</v>
      </c>
      <c r="V46" s="1"/>
    </row>
    <row r="47" spans="1:22" ht="19.5" customHeight="1">
      <c r="A47" s="389"/>
      <c r="B47" s="408"/>
      <c r="C47" s="123" t="s">
        <v>5</v>
      </c>
      <c r="D47" s="131">
        <v>393835.9</v>
      </c>
      <c r="E47" s="125" t="s">
        <v>0</v>
      </c>
      <c r="F47" s="125" t="s">
        <v>52</v>
      </c>
      <c r="G47" s="126">
        <v>41576</v>
      </c>
      <c r="H47" s="126">
        <v>41661</v>
      </c>
      <c r="I47" s="126">
        <v>41669</v>
      </c>
      <c r="J47" s="126">
        <v>41684</v>
      </c>
      <c r="K47" s="126">
        <v>41717</v>
      </c>
      <c r="L47" s="126">
        <v>41740</v>
      </c>
      <c r="M47" s="126">
        <v>41817</v>
      </c>
      <c r="N47" s="126">
        <v>41857</v>
      </c>
      <c r="O47" s="127">
        <v>41880</v>
      </c>
      <c r="P47" s="127">
        <v>41907</v>
      </c>
      <c r="Q47" s="127">
        <v>41906</v>
      </c>
      <c r="R47" s="127">
        <v>41908</v>
      </c>
      <c r="S47" s="127">
        <v>41940</v>
      </c>
      <c r="T47" s="127">
        <v>41948</v>
      </c>
      <c r="U47" s="126" t="s">
        <v>27</v>
      </c>
      <c r="V47" s="1"/>
    </row>
    <row r="48" spans="1:22" ht="19.5" customHeight="1">
      <c r="A48" s="389">
        <v>26</v>
      </c>
      <c r="B48" s="407" t="s">
        <v>192</v>
      </c>
      <c r="C48" s="88" t="s">
        <v>4</v>
      </c>
      <c r="D48" s="95">
        <v>200000</v>
      </c>
      <c r="E48" s="90" t="s">
        <v>114</v>
      </c>
      <c r="F48" s="90" t="s">
        <v>52</v>
      </c>
      <c r="G48" s="91" t="s">
        <v>49</v>
      </c>
      <c r="H48" s="91" t="s">
        <v>49</v>
      </c>
      <c r="I48" s="91" t="s">
        <v>49</v>
      </c>
      <c r="J48" s="91" t="s">
        <v>49</v>
      </c>
      <c r="K48" s="91" t="s">
        <v>49</v>
      </c>
      <c r="L48" s="91" t="s">
        <v>49</v>
      </c>
      <c r="M48" s="91" t="s">
        <v>49</v>
      </c>
      <c r="N48" s="91" t="s">
        <v>49</v>
      </c>
      <c r="O48" s="91" t="s">
        <v>49</v>
      </c>
      <c r="P48" s="91" t="s">
        <v>49</v>
      </c>
      <c r="Q48" s="91">
        <v>41740</v>
      </c>
      <c r="R48" s="91" t="s">
        <v>49</v>
      </c>
      <c r="S48" s="91" t="s">
        <v>49</v>
      </c>
      <c r="T48" s="91">
        <v>42078</v>
      </c>
      <c r="U48" s="91" t="s">
        <v>27</v>
      </c>
      <c r="V48" s="1"/>
    </row>
    <row r="49" spans="1:22" ht="19.5" customHeight="1">
      <c r="A49" s="389"/>
      <c r="B49" s="408"/>
      <c r="C49" s="123" t="s">
        <v>5</v>
      </c>
      <c r="D49" s="131">
        <v>0</v>
      </c>
      <c r="E49" s="125" t="s">
        <v>114</v>
      </c>
      <c r="F49" s="125" t="s">
        <v>52</v>
      </c>
      <c r="G49" s="126" t="s">
        <v>49</v>
      </c>
      <c r="H49" s="126" t="s">
        <v>49</v>
      </c>
      <c r="I49" s="126" t="s">
        <v>49</v>
      </c>
      <c r="J49" s="129" t="s">
        <v>49</v>
      </c>
      <c r="K49" s="129" t="s">
        <v>49</v>
      </c>
      <c r="L49" s="129" t="s">
        <v>49</v>
      </c>
      <c r="M49" s="126">
        <v>41732</v>
      </c>
      <c r="N49" s="129" t="s">
        <v>49</v>
      </c>
      <c r="O49" s="129" t="s">
        <v>49</v>
      </c>
      <c r="P49" s="129" t="s">
        <v>49</v>
      </c>
      <c r="Q49" s="127">
        <v>41744</v>
      </c>
      <c r="R49" s="127" t="s">
        <v>49</v>
      </c>
      <c r="S49" s="127">
        <v>42253</v>
      </c>
      <c r="T49" s="126">
        <v>42257</v>
      </c>
      <c r="U49" s="116" t="s">
        <v>433</v>
      </c>
      <c r="V49" s="1"/>
    </row>
    <row r="50" spans="1:22" ht="19.5" customHeight="1">
      <c r="A50" s="389">
        <v>27</v>
      </c>
      <c r="B50" s="407" t="s">
        <v>214</v>
      </c>
      <c r="C50" s="88" t="s">
        <v>4</v>
      </c>
      <c r="D50" s="95">
        <v>550000</v>
      </c>
      <c r="E50" s="90" t="s">
        <v>0</v>
      </c>
      <c r="F50" s="90" t="s">
        <v>52</v>
      </c>
      <c r="G50" s="91">
        <v>41851</v>
      </c>
      <c r="H50" s="91">
        <f>+G50+14</f>
        <v>41865</v>
      </c>
      <c r="I50" s="91">
        <f>+H50+7</f>
        <v>41872</v>
      </c>
      <c r="J50" s="91">
        <f>+I50+14</f>
        <v>41886</v>
      </c>
      <c r="K50" s="91" t="s">
        <v>49</v>
      </c>
      <c r="L50" s="91" t="s">
        <v>49</v>
      </c>
      <c r="M50" s="91">
        <f>J50+56+14</f>
        <v>41956</v>
      </c>
      <c r="N50" s="91" t="s">
        <v>49</v>
      </c>
      <c r="O50" s="91" t="s">
        <v>49</v>
      </c>
      <c r="P50" s="91" t="s">
        <v>49</v>
      </c>
      <c r="Q50" s="91">
        <f>M50+56</f>
        <v>42012</v>
      </c>
      <c r="R50" s="91" t="s">
        <v>49</v>
      </c>
      <c r="S50" s="91" t="s">
        <v>49</v>
      </c>
      <c r="T50" s="91">
        <f>Q50+28</f>
        <v>42040</v>
      </c>
      <c r="U50" s="91" t="s">
        <v>27</v>
      </c>
      <c r="V50" s="1"/>
    </row>
    <row r="51" spans="1:22" ht="19.5" customHeight="1">
      <c r="A51" s="389"/>
      <c r="B51" s="408"/>
      <c r="C51" s="123" t="s">
        <v>5</v>
      </c>
      <c r="D51" s="131">
        <v>0</v>
      </c>
      <c r="E51" s="125" t="s">
        <v>0</v>
      </c>
      <c r="F51" s="125" t="s">
        <v>52</v>
      </c>
      <c r="G51" s="126">
        <v>41855</v>
      </c>
      <c r="H51" s="126">
        <v>41914</v>
      </c>
      <c r="I51" s="126">
        <v>41904</v>
      </c>
      <c r="J51" s="126">
        <v>41919</v>
      </c>
      <c r="K51" s="126">
        <v>41992</v>
      </c>
      <c r="L51" s="126">
        <v>42003</v>
      </c>
      <c r="M51" s="126">
        <v>42173</v>
      </c>
      <c r="N51" s="127">
        <v>42244</v>
      </c>
      <c r="O51" s="127">
        <v>42301</v>
      </c>
      <c r="P51" s="129"/>
      <c r="Q51" s="129"/>
      <c r="R51" s="129"/>
      <c r="S51" s="129"/>
      <c r="T51" s="129"/>
      <c r="U51" s="120"/>
      <c r="V51" s="1"/>
    </row>
    <row r="52" spans="1:22" ht="19.5" customHeight="1">
      <c r="A52" s="389">
        <v>28</v>
      </c>
      <c r="B52" s="407" t="s">
        <v>224</v>
      </c>
      <c r="C52" s="88" t="s">
        <v>4</v>
      </c>
      <c r="D52" s="95">
        <v>200000</v>
      </c>
      <c r="E52" s="90" t="s">
        <v>0</v>
      </c>
      <c r="F52" s="90" t="s">
        <v>51</v>
      </c>
      <c r="G52" s="91">
        <v>41847</v>
      </c>
      <c r="H52" s="91">
        <f>+G52+14</f>
        <v>41861</v>
      </c>
      <c r="I52" s="91">
        <f>+H52+7</f>
        <v>41868</v>
      </c>
      <c r="J52" s="91">
        <f>+I52+14</f>
        <v>41882</v>
      </c>
      <c r="K52" s="91" t="s">
        <v>49</v>
      </c>
      <c r="L52" s="91" t="s">
        <v>49</v>
      </c>
      <c r="M52" s="91">
        <f>J52+14+56</f>
        <v>41952</v>
      </c>
      <c r="N52" s="91" t="s">
        <v>49</v>
      </c>
      <c r="O52" s="91" t="s">
        <v>49</v>
      </c>
      <c r="P52" s="91" t="s">
        <v>49</v>
      </c>
      <c r="Q52" s="91">
        <f>M52+14+42</f>
        <v>42008</v>
      </c>
      <c r="R52" s="91" t="s">
        <v>49</v>
      </c>
      <c r="S52" s="91" t="s">
        <v>49</v>
      </c>
      <c r="T52" s="91">
        <f>Q52+28</f>
        <v>42036</v>
      </c>
      <c r="U52" s="77" t="s">
        <v>66</v>
      </c>
      <c r="V52" s="1"/>
    </row>
    <row r="53" spans="1:22" ht="19.5" customHeight="1">
      <c r="A53" s="389"/>
      <c r="B53" s="408"/>
      <c r="C53" s="123" t="s">
        <v>5</v>
      </c>
      <c r="D53" s="131"/>
      <c r="E53" s="125" t="s">
        <v>0</v>
      </c>
      <c r="F53" s="125" t="s">
        <v>51</v>
      </c>
      <c r="G53" s="127">
        <v>41864</v>
      </c>
      <c r="H53" s="127">
        <v>41919</v>
      </c>
      <c r="I53" s="127">
        <v>41939</v>
      </c>
      <c r="J53" s="127">
        <v>41956</v>
      </c>
      <c r="K53" s="126" t="s">
        <v>49</v>
      </c>
      <c r="L53" s="126" t="s">
        <v>49</v>
      </c>
      <c r="M53" s="127">
        <v>42066</v>
      </c>
      <c r="N53" s="126" t="s">
        <v>49</v>
      </c>
      <c r="O53" s="126" t="s">
        <v>49</v>
      </c>
      <c r="P53" s="126" t="s">
        <v>49</v>
      </c>
      <c r="Q53" s="127">
        <v>42201</v>
      </c>
      <c r="R53" s="126" t="s">
        <v>49</v>
      </c>
      <c r="S53" s="126" t="s">
        <v>49</v>
      </c>
      <c r="T53" s="127">
        <v>42275</v>
      </c>
      <c r="U53" s="120" t="s">
        <v>66</v>
      </c>
      <c r="V53" s="1"/>
    </row>
    <row r="54" spans="1:22" ht="19.5" customHeight="1">
      <c r="A54" s="389">
        <v>29</v>
      </c>
      <c r="B54" s="407" t="s">
        <v>215</v>
      </c>
      <c r="C54" s="88" t="s">
        <v>4</v>
      </c>
      <c r="D54" s="95">
        <v>500000</v>
      </c>
      <c r="E54" s="90" t="s">
        <v>0</v>
      </c>
      <c r="F54" s="90" t="s">
        <v>52</v>
      </c>
      <c r="G54" s="91">
        <v>41816</v>
      </c>
      <c r="H54" s="91">
        <f>+G54+14</f>
        <v>41830</v>
      </c>
      <c r="I54" s="91">
        <f>+H54+7</f>
        <v>41837</v>
      </c>
      <c r="J54" s="91">
        <f>+I54+14</f>
        <v>41851</v>
      </c>
      <c r="K54" s="91">
        <f>J54+7</f>
        <v>41858</v>
      </c>
      <c r="L54" s="91">
        <f>+K54+7</f>
        <v>41865</v>
      </c>
      <c r="M54" s="91">
        <f>+L54+56</f>
        <v>41921</v>
      </c>
      <c r="N54" s="91">
        <f>+M54+7</f>
        <v>41928</v>
      </c>
      <c r="O54" s="91">
        <f>+N54+14</f>
        <v>41942</v>
      </c>
      <c r="P54" s="91">
        <f>+O54+21</f>
        <v>41963</v>
      </c>
      <c r="Q54" s="91">
        <f>P54+14</f>
        <v>41977</v>
      </c>
      <c r="R54" s="91">
        <f>+Q54+7</f>
        <v>41984</v>
      </c>
      <c r="S54" s="91">
        <f>+R54+7</f>
        <v>41991</v>
      </c>
      <c r="T54" s="91">
        <f>+S54+14</f>
        <v>42005</v>
      </c>
      <c r="U54" s="91" t="s">
        <v>21</v>
      </c>
      <c r="V54" s="1"/>
    </row>
    <row r="55" spans="1:22" s="146" customFormat="1" ht="19.5" customHeight="1">
      <c r="A55" s="389"/>
      <c r="B55" s="408"/>
      <c r="C55" s="123" t="s">
        <v>5</v>
      </c>
      <c r="D55" s="131">
        <v>0</v>
      </c>
      <c r="E55" s="125" t="s">
        <v>0</v>
      </c>
      <c r="F55" s="125" t="s">
        <v>52</v>
      </c>
      <c r="G55" s="126">
        <v>41789</v>
      </c>
      <c r="H55" s="126">
        <v>41791</v>
      </c>
      <c r="I55" s="126">
        <v>41792</v>
      </c>
      <c r="J55" s="126">
        <v>41827</v>
      </c>
      <c r="K55" s="126">
        <v>41960</v>
      </c>
      <c r="L55" s="126">
        <v>42032</v>
      </c>
      <c r="M55" s="126">
        <v>42171</v>
      </c>
      <c r="N55" s="127">
        <v>42249</v>
      </c>
      <c r="O55" s="127">
        <v>42301</v>
      </c>
      <c r="P55" s="129"/>
      <c r="Q55" s="129"/>
      <c r="R55" s="129"/>
      <c r="S55" s="129"/>
      <c r="T55" s="129"/>
      <c r="U55" s="120" t="s">
        <v>21</v>
      </c>
      <c r="V55" s="145"/>
    </row>
    <row r="56" spans="1:22" s="56" customFormat="1" ht="19.5" customHeight="1">
      <c r="A56" s="389">
        <v>30</v>
      </c>
      <c r="B56" s="407" t="s">
        <v>233</v>
      </c>
      <c r="C56" s="88" t="s">
        <v>4</v>
      </c>
      <c r="D56" s="95">
        <v>200000</v>
      </c>
      <c r="E56" s="90" t="s">
        <v>114</v>
      </c>
      <c r="F56" s="90" t="s">
        <v>52</v>
      </c>
      <c r="G56" s="91">
        <v>41846</v>
      </c>
      <c r="H56" s="91">
        <f>+G56+14</f>
        <v>41860</v>
      </c>
      <c r="I56" s="91">
        <f>+H56+7</f>
        <v>41867</v>
      </c>
      <c r="J56" s="91">
        <f>+I56+14</f>
        <v>41881</v>
      </c>
      <c r="K56" s="91">
        <f>J56+7</f>
        <v>41888</v>
      </c>
      <c r="L56" s="91">
        <f>+K56+7</f>
        <v>41895</v>
      </c>
      <c r="M56" s="91">
        <f>+L56+56</f>
        <v>41951</v>
      </c>
      <c r="N56" s="91">
        <f>+M56+7</f>
        <v>41958</v>
      </c>
      <c r="O56" s="91">
        <f>+N56+14</f>
        <v>41972</v>
      </c>
      <c r="P56" s="91">
        <f>+O56+21</f>
        <v>41993</v>
      </c>
      <c r="Q56" s="91">
        <f>P56+14</f>
        <v>42007</v>
      </c>
      <c r="R56" s="91">
        <f>+Q56+7</f>
        <v>42014</v>
      </c>
      <c r="S56" s="91">
        <f>+R56+7</f>
        <v>42021</v>
      </c>
      <c r="T56" s="91">
        <f>+S56+14</f>
        <v>42035</v>
      </c>
      <c r="U56" s="77" t="s">
        <v>26</v>
      </c>
      <c r="V56" s="38"/>
    </row>
    <row r="57" spans="1:22" ht="19.5" customHeight="1">
      <c r="A57" s="389"/>
      <c r="B57" s="408"/>
      <c r="C57" s="123" t="s">
        <v>5</v>
      </c>
      <c r="D57" s="131">
        <v>230002</v>
      </c>
      <c r="E57" s="125" t="s">
        <v>114</v>
      </c>
      <c r="F57" s="125" t="s">
        <v>52</v>
      </c>
      <c r="G57" s="126">
        <v>41863</v>
      </c>
      <c r="H57" s="126" t="s">
        <v>49</v>
      </c>
      <c r="I57" s="126" t="s">
        <v>49</v>
      </c>
      <c r="J57" s="126" t="s">
        <v>49</v>
      </c>
      <c r="K57" s="126" t="s">
        <v>49</v>
      </c>
      <c r="L57" s="126" t="s">
        <v>49</v>
      </c>
      <c r="M57" s="126">
        <v>41940</v>
      </c>
      <c r="N57" s="126" t="s">
        <v>49</v>
      </c>
      <c r="O57" s="126" t="s">
        <v>49</v>
      </c>
      <c r="P57" s="126" t="s">
        <v>49</v>
      </c>
      <c r="Q57" s="126">
        <v>41949</v>
      </c>
      <c r="R57" s="126">
        <v>41963</v>
      </c>
      <c r="S57" s="126">
        <v>42041</v>
      </c>
      <c r="T57" s="126">
        <v>42046</v>
      </c>
      <c r="U57" s="120" t="s">
        <v>26</v>
      </c>
      <c r="V57" s="1"/>
    </row>
    <row r="58" spans="1:22" ht="19.5" customHeight="1">
      <c r="A58" s="389">
        <v>31</v>
      </c>
      <c r="B58" s="407" t="s">
        <v>242</v>
      </c>
      <c r="C58" s="88" t="s">
        <v>4</v>
      </c>
      <c r="D58" s="95">
        <v>300000</v>
      </c>
      <c r="E58" s="90" t="s">
        <v>0</v>
      </c>
      <c r="F58" s="90" t="s">
        <v>51</v>
      </c>
      <c r="G58" s="91">
        <v>41847</v>
      </c>
      <c r="H58" s="91">
        <f>+G58+14</f>
        <v>41861</v>
      </c>
      <c r="I58" s="91">
        <f>+H58+7</f>
        <v>41868</v>
      </c>
      <c r="J58" s="91">
        <f>+I58+14</f>
        <v>41882</v>
      </c>
      <c r="K58" s="91" t="s">
        <v>49</v>
      </c>
      <c r="L58" s="91" t="s">
        <v>49</v>
      </c>
      <c r="M58" s="91">
        <f>J58+14+56</f>
        <v>41952</v>
      </c>
      <c r="N58" s="91" t="s">
        <v>49</v>
      </c>
      <c r="O58" s="91" t="s">
        <v>49</v>
      </c>
      <c r="P58" s="91" t="s">
        <v>49</v>
      </c>
      <c r="Q58" s="91">
        <f>M58+56</f>
        <v>42008</v>
      </c>
      <c r="R58" s="91" t="s">
        <v>49</v>
      </c>
      <c r="S58" s="91" t="s">
        <v>49</v>
      </c>
      <c r="T58" s="91">
        <f>Q58+28</f>
        <v>42036</v>
      </c>
      <c r="U58" s="77" t="s">
        <v>431</v>
      </c>
      <c r="V58" s="1"/>
    </row>
    <row r="59" spans="1:22" ht="19.5" customHeight="1">
      <c r="A59" s="389"/>
      <c r="B59" s="408"/>
      <c r="C59" s="123" t="s">
        <v>5</v>
      </c>
      <c r="D59" s="131"/>
      <c r="E59" s="125" t="s">
        <v>0</v>
      </c>
      <c r="F59" s="125" t="s">
        <v>51</v>
      </c>
      <c r="G59" s="126">
        <v>41943</v>
      </c>
      <c r="H59" s="126">
        <v>41867</v>
      </c>
      <c r="I59" s="126">
        <v>41942</v>
      </c>
      <c r="J59" s="127">
        <v>41956</v>
      </c>
      <c r="K59" s="129" t="s">
        <v>49</v>
      </c>
      <c r="L59" s="129" t="s">
        <v>49</v>
      </c>
      <c r="M59" s="127">
        <v>42170</v>
      </c>
      <c r="N59" s="129" t="s">
        <v>49</v>
      </c>
      <c r="O59" s="129" t="s">
        <v>49</v>
      </c>
      <c r="P59" s="129" t="s">
        <v>49</v>
      </c>
      <c r="Q59" s="129"/>
      <c r="R59" s="129" t="s">
        <v>49</v>
      </c>
      <c r="S59" s="129" t="s">
        <v>49</v>
      </c>
      <c r="T59" s="129"/>
      <c r="U59" s="120"/>
      <c r="V59" s="1"/>
    </row>
    <row r="60" spans="1:22" ht="19.5" customHeight="1">
      <c r="A60" s="389">
        <v>32</v>
      </c>
      <c r="B60" s="407" t="s">
        <v>299</v>
      </c>
      <c r="C60" s="88" t="s">
        <v>4</v>
      </c>
      <c r="D60" s="95">
        <v>200000</v>
      </c>
      <c r="E60" s="90" t="s">
        <v>114</v>
      </c>
      <c r="F60" s="90" t="s">
        <v>52</v>
      </c>
      <c r="G60" s="91" t="s">
        <v>49</v>
      </c>
      <c r="H60" s="91" t="s">
        <v>49</v>
      </c>
      <c r="I60" s="91" t="s">
        <v>49</v>
      </c>
      <c r="J60" s="91" t="s">
        <v>49</v>
      </c>
      <c r="K60" s="91" t="s">
        <v>49</v>
      </c>
      <c r="L60" s="91" t="s">
        <v>49</v>
      </c>
      <c r="M60" s="91" t="s">
        <v>49</v>
      </c>
      <c r="N60" s="91" t="s">
        <v>49</v>
      </c>
      <c r="O60" s="91" t="s">
        <v>49</v>
      </c>
      <c r="P60" s="91" t="s">
        <v>49</v>
      </c>
      <c r="Q60" s="91">
        <v>42015</v>
      </c>
      <c r="R60" s="369"/>
      <c r="S60" s="369"/>
      <c r="T60" s="369"/>
      <c r="U60" s="116" t="s">
        <v>435</v>
      </c>
      <c r="V60" s="1"/>
    </row>
    <row r="61" spans="1:22" ht="19.5" customHeight="1">
      <c r="A61" s="389"/>
      <c r="B61" s="408"/>
      <c r="C61" s="123" t="s">
        <v>5</v>
      </c>
      <c r="D61" s="131"/>
      <c r="E61" s="125" t="s">
        <v>114</v>
      </c>
      <c r="F61" s="125" t="s">
        <v>52</v>
      </c>
      <c r="G61" s="126" t="s">
        <v>49</v>
      </c>
      <c r="H61" s="126" t="s">
        <v>49</v>
      </c>
      <c r="I61" s="126" t="s">
        <v>49</v>
      </c>
      <c r="J61" s="129" t="s">
        <v>49</v>
      </c>
      <c r="K61" s="129" t="s">
        <v>49</v>
      </c>
      <c r="L61" s="129" t="s">
        <v>49</v>
      </c>
      <c r="M61" s="125" t="s">
        <v>49</v>
      </c>
      <c r="N61" s="129" t="s">
        <v>49</v>
      </c>
      <c r="O61" s="129" t="s">
        <v>49</v>
      </c>
      <c r="P61" s="129" t="s">
        <v>49</v>
      </c>
      <c r="Q61" s="126">
        <v>42026</v>
      </c>
      <c r="R61" s="126" t="s">
        <v>49</v>
      </c>
      <c r="S61" s="126">
        <v>42237</v>
      </c>
      <c r="T61" s="126">
        <v>42264</v>
      </c>
      <c r="U61" s="116" t="s">
        <v>436</v>
      </c>
      <c r="V61" s="1"/>
    </row>
    <row r="62" spans="1:22" ht="19.5" customHeight="1">
      <c r="A62" s="423">
        <v>33</v>
      </c>
      <c r="B62" s="411" t="s">
        <v>421</v>
      </c>
      <c r="C62" s="149" t="s">
        <v>4</v>
      </c>
      <c r="D62" s="342">
        <v>450000</v>
      </c>
      <c r="E62" s="90" t="s">
        <v>0</v>
      </c>
      <c r="F62" s="90" t="s">
        <v>51</v>
      </c>
      <c r="G62" s="91">
        <v>42222</v>
      </c>
      <c r="H62" s="91">
        <f>G62+14</f>
        <v>42236</v>
      </c>
      <c r="I62" s="91">
        <f>H62+7</f>
        <v>42243</v>
      </c>
      <c r="J62" s="92">
        <f>I62+14</f>
        <v>42257</v>
      </c>
      <c r="K62" s="93" t="s">
        <v>49</v>
      </c>
      <c r="L62" s="93" t="s">
        <v>49</v>
      </c>
      <c r="M62" s="91">
        <f>J62+56</f>
        <v>42313</v>
      </c>
      <c r="N62" s="93" t="s">
        <v>49</v>
      </c>
      <c r="O62" s="93" t="s">
        <v>49</v>
      </c>
      <c r="P62" s="93" t="s">
        <v>49</v>
      </c>
      <c r="Q62" s="91">
        <f>M62+56</f>
        <v>42369</v>
      </c>
      <c r="R62" s="92" t="s">
        <v>49</v>
      </c>
      <c r="S62" s="93" t="s">
        <v>49</v>
      </c>
      <c r="T62" s="92">
        <f>Q62+7</f>
        <v>42376</v>
      </c>
      <c r="U62" s="77" t="s">
        <v>425</v>
      </c>
      <c r="V62" s="1"/>
    </row>
    <row r="63" spans="1:22" ht="19.5" customHeight="1">
      <c r="A63" s="423"/>
      <c r="B63" s="411"/>
      <c r="C63" s="340" t="s">
        <v>5</v>
      </c>
      <c r="D63" s="341"/>
      <c r="E63" s="125" t="s">
        <v>0</v>
      </c>
      <c r="F63" s="125" t="s">
        <v>51</v>
      </c>
      <c r="G63" s="126">
        <v>42226</v>
      </c>
      <c r="H63" s="126">
        <v>42230</v>
      </c>
      <c r="I63" s="126">
        <v>42244</v>
      </c>
      <c r="J63" s="126">
        <f>I63+13</f>
        <v>42257</v>
      </c>
      <c r="K63" s="129" t="s">
        <v>49</v>
      </c>
      <c r="L63" s="129" t="s">
        <v>49</v>
      </c>
      <c r="M63" s="126">
        <v>42314</v>
      </c>
      <c r="N63" s="129" t="s">
        <v>49</v>
      </c>
      <c r="O63" s="129" t="s">
        <v>49</v>
      </c>
      <c r="P63" s="129"/>
      <c r="Q63" s="126"/>
      <c r="R63" s="127"/>
      <c r="S63" s="129"/>
      <c r="T63" s="129"/>
      <c r="U63" s="120"/>
      <c r="V63" s="1"/>
    </row>
    <row r="64" spans="1:22" ht="19.5" customHeight="1">
      <c r="A64" s="82"/>
      <c r="B64" s="338" t="s">
        <v>42</v>
      </c>
      <c r="C64" s="149" t="s">
        <v>4</v>
      </c>
      <c r="D64" s="239">
        <f>D14+D16+D18+D20+D22+D24+D26+D28+D30+D32+D34+D36+D38+D40+D42+D44+D46+D48+D50+D52+D54+D56+D58+D60+D62</f>
        <v>12275000</v>
      </c>
      <c r="E64" s="83"/>
      <c r="F64" s="83"/>
      <c r="G64" s="83"/>
      <c r="H64" s="83"/>
      <c r="I64" s="83"/>
      <c r="J64" s="83"/>
      <c r="K64" s="83"/>
      <c r="L64" s="83"/>
      <c r="M64" s="96"/>
      <c r="N64" s="83"/>
      <c r="O64" s="83"/>
      <c r="P64" s="83"/>
      <c r="Q64" s="83"/>
      <c r="R64" s="83"/>
      <c r="S64" s="83"/>
      <c r="T64" s="83"/>
      <c r="U64" s="82"/>
      <c r="V64" s="1"/>
    </row>
    <row r="65" spans="1:22" ht="19.5" customHeight="1">
      <c r="A65" s="97"/>
      <c r="B65" s="339"/>
      <c r="C65" s="123" t="s">
        <v>5</v>
      </c>
      <c r="D65" s="220">
        <f>D15+D17+D19+D21+D23+D25+D27+D29+D31+D33+D35+D37+D39+D41+D43+D45+D47+D49+D51+D53+D55+D57+D59+D61</f>
        <v>10513772.279678736</v>
      </c>
      <c r="E65" s="83"/>
      <c r="F65" s="83"/>
      <c r="G65" s="158"/>
      <c r="H65" s="83"/>
      <c r="I65" s="83"/>
      <c r="J65" s="83"/>
      <c r="K65" s="83"/>
      <c r="L65" s="83"/>
      <c r="M65" s="96"/>
      <c r="N65" s="83"/>
      <c r="O65" s="83"/>
      <c r="P65" s="83"/>
      <c r="Q65" s="83"/>
      <c r="R65" s="83"/>
      <c r="S65" s="83"/>
      <c r="T65" s="83"/>
      <c r="U65" s="82"/>
      <c r="V65" s="1"/>
    </row>
    <row r="66" spans="2:22" ht="19.5" customHeight="1">
      <c r="B66" s="23"/>
      <c r="D66" s="57"/>
      <c r="V66" s="1"/>
    </row>
    <row r="67" spans="2:22" ht="12.75">
      <c r="B67" s="24"/>
      <c r="D67" s="15"/>
      <c r="V67" s="1"/>
    </row>
    <row r="68" spans="4:22" ht="12.75">
      <c r="D68" s="160"/>
      <c r="E68" s="109"/>
      <c r="F68" s="112"/>
      <c r="V68" s="1"/>
    </row>
    <row r="69" spans="1:22" ht="12.75">
      <c r="A69" s="18"/>
      <c r="D69" s="16"/>
      <c r="V69" s="1"/>
    </row>
    <row r="70" spans="7:22" ht="12.75">
      <c r="G70" s="45"/>
      <c r="V70" s="1"/>
    </row>
    <row r="71" spans="7:22" ht="12.75">
      <c r="G71" s="45"/>
      <c r="V71" s="1"/>
    </row>
    <row r="72" spans="7:22" ht="12.75">
      <c r="G72" s="16"/>
      <c r="V72" s="1"/>
    </row>
    <row r="73" spans="7:19" ht="12.75">
      <c r="G73" s="16"/>
      <c r="J73" s="18"/>
      <c r="M73"/>
      <c r="S73" s="1"/>
    </row>
    <row r="74" spans="7:19" ht="12.75">
      <c r="G74" s="16"/>
      <c r="J74" s="18"/>
      <c r="M74"/>
      <c r="S74" s="1"/>
    </row>
    <row r="75" spans="10:13" ht="12.75">
      <c r="J75" s="18"/>
      <c r="M75"/>
    </row>
    <row r="76" spans="10:13" ht="12.75">
      <c r="J76" s="18"/>
      <c r="M76"/>
    </row>
    <row r="77" spans="10:13" ht="12.75">
      <c r="J77" s="18"/>
      <c r="M77"/>
    </row>
    <row r="78" spans="5:13" ht="12.75">
      <c r="E78" s="18"/>
      <c r="F78" s="18"/>
      <c r="J78" s="18"/>
      <c r="M78"/>
    </row>
    <row r="79" spans="2:13" ht="12.75">
      <c r="B79" s="15"/>
      <c r="J79" s="18"/>
      <c r="M79"/>
    </row>
    <row r="80" spans="2:13" ht="12.75">
      <c r="B80" s="15"/>
      <c r="J80" s="18"/>
      <c r="M80"/>
    </row>
  </sheetData>
  <sheetProtection/>
  <mergeCells count="78">
    <mergeCell ref="B62:B63"/>
    <mergeCell ref="A62:A63"/>
    <mergeCell ref="A16:A17"/>
    <mergeCell ref="A58:A59"/>
    <mergeCell ref="B58:B59"/>
    <mergeCell ref="A22:A23"/>
    <mergeCell ref="B34:B35"/>
    <mergeCell ref="A34:A35"/>
    <mergeCell ref="A28:A29"/>
    <mergeCell ref="B32:B33"/>
    <mergeCell ref="A36:A37"/>
    <mergeCell ref="B20:B21"/>
    <mergeCell ref="C7:T7"/>
    <mergeCell ref="M11:M12"/>
    <mergeCell ref="G11:G12"/>
    <mergeCell ref="B22:B23"/>
    <mergeCell ref="B16:B17"/>
    <mergeCell ref="K11:K12"/>
    <mergeCell ref="C8:T8"/>
    <mergeCell ref="T11:T12"/>
    <mergeCell ref="B14:B15"/>
    <mergeCell ref="A5:U5"/>
    <mergeCell ref="R11:R12"/>
    <mergeCell ref="L11:L12"/>
    <mergeCell ref="A11:A12"/>
    <mergeCell ref="C9:T9"/>
    <mergeCell ref="C11:C12"/>
    <mergeCell ref="P11:P12"/>
    <mergeCell ref="I11:I12"/>
    <mergeCell ref="S11:S12"/>
    <mergeCell ref="F11:F12"/>
    <mergeCell ref="A2:U2"/>
    <mergeCell ref="A3:U3"/>
    <mergeCell ref="A4:U4"/>
    <mergeCell ref="E11:E12"/>
    <mergeCell ref="D11:D12"/>
    <mergeCell ref="U11:U12"/>
    <mergeCell ref="Q11:Q12"/>
    <mergeCell ref="N11:N12"/>
    <mergeCell ref="H11:H12"/>
    <mergeCell ref="O11:O12"/>
    <mergeCell ref="B26:B27"/>
    <mergeCell ref="A14:A15"/>
    <mergeCell ref="A24:A25"/>
    <mergeCell ref="B11:B12"/>
    <mergeCell ref="J11:J12"/>
    <mergeCell ref="B18:B19"/>
    <mergeCell ref="A26:A27"/>
    <mergeCell ref="A20:A21"/>
    <mergeCell ref="B24:B25"/>
    <mergeCell ref="A18:A19"/>
    <mergeCell ref="B30:B31"/>
    <mergeCell ref="A30:A31"/>
    <mergeCell ref="B28:B29"/>
    <mergeCell ref="A46:A47"/>
    <mergeCell ref="B46:B47"/>
    <mergeCell ref="A40:A41"/>
    <mergeCell ref="A32:A33"/>
    <mergeCell ref="A38:A39"/>
    <mergeCell ref="B36:B37"/>
    <mergeCell ref="A44:A45"/>
    <mergeCell ref="B44:B45"/>
    <mergeCell ref="A42:A43"/>
    <mergeCell ref="B42:B43"/>
    <mergeCell ref="B38:B39"/>
    <mergeCell ref="B40:B41"/>
    <mergeCell ref="A48:A49"/>
    <mergeCell ref="B48:B49"/>
    <mergeCell ref="A50:A51"/>
    <mergeCell ref="B50:B51"/>
    <mergeCell ref="A54:A55"/>
    <mergeCell ref="B54:B55"/>
    <mergeCell ref="A60:A61"/>
    <mergeCell ref="B60:B61"/>
    <mergeCell ref="A56:A57"/>
    <mergeCell ref="B56:B57"/>
    <mergeCell ref="B52:B53"/>
    <mergeCell ref="A52:A53"/>
  </mergeCells>
  <printOptions/>
  <pageMargins left="1.35" right="0.75" top="1.15" bottom="1" header="0.5" footer="0.5"/>
  <pageSetup fitToHeight="2" fitToWidth="2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PageLayoutView="0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0" sqref="D50"/>
    </sheetView>
  </sheetViews>
  <sheetFormatPr defaultColWidth="9.140625" defaultRowHeight="12.75"/>
  <cols>
    <col min="1" max="1" width="5.8515625" style="0" customWidth="1"/>
    <col min="2" max="2" width="26.421875" style="0" customWidth="1"/>
    <col min="4" max="4" width="12.00390625" style="0" customWidth="1"/>
    <col min="5" max="5" width="12.140625" style="0" customWidth="1"/>
    <col min="6" max="6" width="11.140625" style="0" customWidth="1"/>
    <col min="7" max="7" width="10.28125" style="0" customWidth="1"/>
    <col min="8" max="8" width="13.140625" style="0" customWidth="1"/>
    <col min="9" max="9" width="9.7109375" style="0" customWidth="1"/>
    <col min="10" max="10" width="10.7109375" style="18" customWidth="1"/>
    <col min="11" max="11" width="10.7109375" style="0" customWidth="1"/>
    <col min="12" max="12" width="10.8515625" style="0" customWidth="1"/>
    <col min="13" max="13" width="9.421875" style="0" customWidth="1"/>
    <col min="14" max="14" width="11.140625" style="0" customWidth="1"/>
    <col min="15" max="16" width="9.8515625" style="0" customWidth="1"/>
    <col min="17" max="17" width="9.421875" style="0" customWidth="1"/>
    <col min="18" max="18" width="11.421875" style="0" bestFit="1" customWidth="1"/>
  </cols>
  <sheetData>
    <row r="1" spans="1:17" ht="12.75">
      <c r="A1" s="100"/>
      <c r="B1" s="428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2" spans="1:18" ht="15">
      <c r="A2" s="100"/>
      <c r="B2" s="223"/>
      <c r="C2" s="400" t="s">
        <v>65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55"/>
    </row>
    <row r="3" spans="1:17" ht="12.75">
      <c r="A3" s="100"/>
      <c r="B3" s="223"/>
      <c r="C3" s="400" t="s">
        <v>34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1:18" ht="13.5" thickBot="1">
      <c r="A4" s="100"/>
      <c r="B4" s="152"/>
      <c r="C4" s="63"/>
      <c r="D4" s="159"/>
      <c r="E4" s="63"/>
      <c r="F4" s="63"/>
      <c r="G4" s="63"/>
      <c r="H4" s="63"/>
      <c r="I4" s="63"/>
      <c r="J4" s="101"/>
      <c r="K4" s="63"/>
      <c r="L4" s="63"/>
      <c r="M4" s="63"/>
      <c r="N4" s="63"/>
      <c r="O4" s="63"/>
      <c r="P4" s="63"/>
      <c r="Q4" s="63"/>
      <c r="R4" s="45"/>
    </row>
    <row r="5" spans="1:17" s="1" customFormat="1" ht="79.5" thickTop="1">
      <c r="A5" s="65" t="s">
        <v>17</v>
      </c>
      <c r="B5" s="102" t="s">
        <v>1</v>
      </c>
      <c r="C5" s="102" t="s">
        <v>19</v>
      </c>
      <c r="D5" s="66" t="s">
        <v>31</v>
      </c>
      <c r="E5" s="66" t="s">
        <v>7</v>
      </c>
      <c r="F5" s="66" t="s">
        <v>50</v>
      </c>
      <c r="G5" s="66" t="s">
        <v>93</v>
      </c>
      <c r="H5" s="66" t="s">
        <v>94</v>
      </c>
      <c r="I5" s="66" t="s">
        <v>30</v>
      </c>
      <c r="J5" s="67" t="s">
        <v>8</v>
      </c>
      <c r="K5" s="67" t="s">
        <v>103</v>
      </c>
      <c r="L5" s="66" t="s">
        <v>95</v>
      </c>
      <c r="M5" s="66" t="s">
        <v>104</v>
      </c>
      <c r="N5" s="67" t="s">
        <v>9</v>
      </c>
      <c r="O5" s="66" t="s">
        <v>10</v>
      </c>
      <c r="P5" s="66" t="s">
        <v>11</v>
      </c>
      <c r="Q5" s="103" t="s">
        <v>12</v>
      </c>
    </row>
    <row r="6" spans="1:17" ht="15" customHeight="1">
      <c r="A6" s="431">
        <v>1</v>
      </c>
      <c r="B6" s="430" t="s">
        <v>67</v>
      </c>
      <c r="C6" s="90" t="s">
        <v>4</v>
      </c>
      <c r="D6" s="104">
        <v>350000</v>
      </c>
      <c r="E6" s="93" t="s">
        <v>13</v>
      </c>
      <c r="F6" s="90" t="s">
        <v>51</v>
      </c>
      <c r="G6" s="91" t="s">
        <v>49</v>
      </c>
      <c r="H6" s="92" t="s">
        <v>49</v>
      </c>
      <c r="I6" s="91">
        <v>41160</v>
      </c>
      <c r="J6" s="91">
        <f>+I6+28</f>
        <v>41188</v>
      </c>
      <c r="K6" s="92">
        <f>J7+1</f>
        <v>41258</v>
      </c>
      <c r="L6" s="92" t="s">
        <v>49</v>
      </c>
      <c r="M6" s="92" t="s">
        <v>49</v>
      </c>
      <c r="N6" s="91" t="s">
        <v>49</v>
      </c>
      <c r="O6" s="91">
        <v>41282</v>
      </c>
      <c r="P6" s="92">
        <f>+O6+7</f>
        <v>41289</v>
      </c>
      <c r="Q6" s="105">
        <f>+P6+60</f>
        <v>41349</v>
      </c>
    </row>
    <row r="7" spans="1:17" ht="20.25" customHeight="1">
      <c r="A7" s="432"/>
      <c r="B7" s="430"/>
      <c r="C7" s="125" t="s">
        <v>5</v>
      </c>
      <c r="D7" s="132">
        <v>1175527.39</v>
      </c>
      <c r="E7" s="129" t="s">
        <v>13</v>
      </c>
      <c r="F7" s="125" t="s">
        <v>51</v>
      </c>
      <c r="G7" s="126" t="s">
        <v>49</v>
      </c>
      <c r="H7" s="127" t="s">
        <v>49</v>
      </c>
      <c r="I7" s="126">
        <v>41197</v>
      </c>
      <c r="J7" s="126">
        <v>41257</v>
      </c>
      <c r="K7" s="126">
        <v>41257</v>
      </c>
      <c r="L7" s="127" t="s">
        <v>49</v>
      </c>
      <c r="M7" s="127" t="s">
        <v>49</v>
      </c>
      <c r="N7" s="127" t="s">
        <v>49</v>
      </c>
      <c r="O7" s="147">
        <v>41333</v>
      </c>
      <c r="P7" s="126">
        <v>41379</v>
      </c>
      <c r="Q7" s="133">
        <f>P7+120</f>
        <v>41499</v>
      </c>
    </row>
    <row r="8" spans="1:17" s="1" customFormat="1" ht="12.75">
      <c r="A8" s="431">
        <v>2</v>
      </c>
      <c r="B8" s="430" t="s">
        <v>68</v>
      </c>
      <c r="C8" s="90" t="s">
        <v>4</v>
      </c>
      <c r="D8" s="104">
        <v>1400000</v>
      </c>
      <c r="E8" s="93" t="s">
        <v>20</v>
      </c>
      <c r="F8" s="90" t="s">
        <v>52</v>
      </c>
      <c r="G8" s="92">
        <v>41128</v>
      </c>
      <c r="H8" s="92">
        <f>+G8+7</f>
        <v>41135</v>
      </c>
      <c r="I8" s="92">
        <f>+H8+2</f>
        <v>41137</v>
      </c>
      <c r="J8" s="91">
        <f>+I8+42</f>
        <v>41179</v>
      </c>
      <c r="K8" s="92">
        <f>+J8+1</f>
        <v>41180</v>
      </c>
      <c r="L8" s="92">
        <f>K8+14</f>
        <v>41194</v>
      </c>
      <c r="M8" s="92">
        <f>L9+5</f>
        <v>41352</v>
      </c>
      <c r="N8" s="92">
        <f>+M8+7</f>
        <v>41359</v>
      </c>
      <c r="O8" s="92">
        <f>+N8+3</f>
        <v>41362</v>
      </c>
      <c r="P8" s="92">
        <f>+O8+7</f>
        <v>41369</v>
      </c>
      <c r="Q8" s="105">
        <f>+P8+60</f>
        <v>41429</v>
      </c>
    </row>
    <row r="9" spans="1:17" s="1" customFormat="1" ht="27.75" customHeight="1">
      <c r="A9" s="432"/>
      <c r="B9" s="430"/>
      <c r="C9" s="125" t="s">
        <v>5</v>
      </c>
      <c r="D9" s="155">
        <v>1624640.32</v>
      </c>
      <c r="E9" s="129" t="s">
        <v>20</v>
      </c>
      <c r="F9" s="125" t="s">
        <v>52</v>
      </c>
      <c r="G9" s="127">
        <v>41185</v>
      </c>
      <c r="H9" s="127">
        <v>41240</v>
      </c>
      <c r="I9" s="127">
        <v>41249</v>
      </c>
      <c r="J9" s="127">
        <v>41291</v>
      </c>
      <c r="K9" s="127">
        <v>41292</v>
      </c>
      <c r="L9" s="127">
        <v>41347</v>
      </c>
      <c r="M9" s="127">
        <v>41380</v>
      </c>
      <c r="N9" s="127" t="s">
        <v>49</v>
      </c>
      <c r="O9" s="127">
        <v>41382</v>
      </c>
      <c r="P9" s="127">
        <v>41407</v>
      </c>
      <c r="Q9" s="127">
        <v>41663</v>
      </c>
    </row>
    <row r="10" spans="1:17" s="18" customFormat="1" ht="15" customHeight="1">
      <c r="A10" s="431">
        <v>3</v>
      </c>
      <c r="B10" s="430" t="s">
        <v>69</v>
      </c>
      <c r="C10" s="90" t="s">
        <v>4</v>
      </c>
      <c r="D10" s="104">
        <v>220000</v>
      </c>
      <c r="E10" s="90" t="s">
        <v>13</v>
      </c>
      <c r="F10" s="90" t="s">
        <v>51</v>
      </c>
      <c r="G10" s="91" t="s">
        <v>49</v>
      </c>
      <c r="H10" s="91" t="s">
        <v>49</v>
      </c>
      <c r="I10" s="91">
        <v>41165</v>
      </c>
      <c r="J10" s="91">
        <f>+I10+28</f>
        <v>41193</v>
      </c>
      <c r="K10" s="91">
        <f>+J10+1</f>
        <v>41194</v>
      </c>
      <c r="L10" s="91" t="s">
        <v>49</v>
      </c>
      <c r="M10" s="91" t="s">
        <v>49</v>
      </c>
      <c r="N10" s="91" t="s">
        <v>49</v>
      </c>
      <c r="O10" s="91">
        <v>41308</v>
      </c>
      <c r="P10" s="91">
        <f>+O10+7</f>
        <v>41315</v>
      </c>
      <c r="Q10" s="144">
        <f>+P10+60</f>
        <v>41375</v>
      </c>
    </row>
    <row r="11" spans="1:17" ht="27.75" customHeight="1">
      <c r="A11" s="432"/>
      <c r="B11" s="430"/>
      <c r="C11" s="129" t="s">
        <v>5</v>
      </c>
      <c r="D11" s="134">
        <v>210988.37</v>
      </c>
      <c r="E11" s="129" t="s">
        <v>13</v>
      </c>
      <c r="F11" s="125" t="s">
        <v>51</v>
      </c>
      <c r="G11" s="127" t="s">
        <v>49</v>
      </c>
      <c r="H11" s="127" t="s">
        <v>49</v>
      </c>
      <c r="I11" s="127">
        <v>41171</v>
      </c>
      <c r="J11" s="127">
        <v>41176</v>
      </c>
      <c r="K11" s="127">
        <v>41206</v>
      </c>
      <c r="L11" s="127" t="s">
        <v>49</v>
      </c>
      <c r="M11" s="127" t="s">
        <v>49</v>
      </c>
      <c r="N11" s="126" t="s">
        <v>49</v>
      </c>
      <c r="O11" s="126">
        <v>41333</v>
      </c>
      <c r="P11" s="126">
        <v>41366</v>
      </c>
      <c r="Q11" s="148">
        <v>41360</v>
      </c>
    </row>
    <row r="12" spans="1:17" ht="18" customHeight="1">
      <c r="A12" s="431" t="s">
        <v>271</v>
      </c>
      <c r="B12" s="436" t="s">
        <v>70</v>
      </c>
      <c r="C12" s="93" t="s">
        <v>4</v>
      </c>
      <c r="D12" s="104">
        <v>300000</v>
      </c>
      <c r="E12" s="93" t="s">
        <v>13</v>
      </c>
      <c r="F12" s="90" t="s">
        <v>51</v>
      </c>
      <c r="G12" s="92" t="s">
        <v>49</v>
      </c>
      <c r="H12" s="92" t="s">
        <v>49</v>
      </c>
      <c r="I12" s="92">
        <v>41590</v>
      </c>
      <c r="J12" s="91">
        <f>+I12+28</f>
        <v>41618</v>
      </c>
      <c r="K12" s="92">
        <f>+J12+1</f>
        <v>41619</v>
      </c>
      <c r="L12" s="92" t="s">
        <v>49</v>
      </c>
      <c r="M12" s="92" t="s">
        <v>49</v>
      </c>
      <c r="N12" s="92" t="s">
        <v>49</v>
      </c>
      <c r="O12" s="92">
        <v>41761</v>
      </c>
      <c r="P12" s="92">
        <f>+O12+7</f>
        <v>41768</v>
      </c>
      <c r="Q12" s="105">
        <f>+P12+60</f>
        <v>41828</v>
      </c>
    </row>
    <row r="13" spans="1:17" s="146" customFormat="1" ht="23.25" customHeight="1">
      <c r="A13" s="432"/>
      <c r="B13" s="436"/>
      <c r="C13" s="129" t="s">
        <v>5</v>
      </c>
      <c r="D13" s="132">
        <v>460967</v>
      </c>
      <c r="E13" s="129" t="s">
        <v>13</v>
      </c>
      <c r="F13" s="125" t="s">
        <v>51</v>
      </c>
      <c r="G13" s="127" t="s">
        <v>49</v>
      </c>
      <c r="H13" s="127" t="s">
        <v>49</v>
      </c>
      <c r="I13" s="127">
        <v>41701</v>
      </c>
      <c r="J13" s="127">
        <v>41731</v>
      </c>
      <c r="K13" s="127">
        <v>41731</v>
      </c>
      <c r="L13" s="127" t="s">
        <v>49</v>
      </c>
      <c r="M13" s="127" t="s">
        <v>49</v>
      </c>
      <c r="N13" s="127" t="s">
        <v>49</v>
      </c>
      <c r="O13" s="127">
        <v>41796</v>
      </c>
      <c r="P13" s="127">
        <v>41824</v>
      </c>
      <c r="Q13" s="127">
        <v>42037</v>
      </c>
    </row>
    <row r="14" spans="1:17" s="146" customFormat="1" ht="12" customHeight="1">
      <c r="A14" s="431" t="s">
        <v>272</v>
      </c>
      <c r="B14" s="436" t="s">
        <v>273</v>
      </c>
      <c r="C14" s="93" t="s">
        <v>4</v>
      </c>
      <c r="D14" s="104">
        <v>300000</v>
      </c>
      <c r="E14" s="93" t="s">
        <v>13</v>
      </c>
      <c r="F14" s="90" t="s">
        <v>51</v>
      </c>
      <c r="G14" s="92" t="s">
        <v>49</v>
      </c>
      <c r="H14" s="92" t="s">
        <v>49</v>
      </c>
      <c r="I14" s="92">
        <v>41832</v>
      </c>
      <c r="J14" s="91">
        <f>+I14+28</f>
        <v>41860</v>
      </c>
      <c r="K14" s="92">
        <f>+J14+1</f>
        <v>41861</v>
      </c>
      <c r="L14" s="92" t="s">
        <v>49</v>
      </c>
      <c r="M14" s="92" t="s">
        <v>49</v>
      </c>
      <c r="N14" s="92" t="s">
        <v>49</v>
      </c>
      <c r="O14" s="92">
        <v>41902</v>
      </c>
      <c r="P14" s="92">
        <f>+O14+7</f>
        <v>41909</v>
      </c>
      <c r="Q14" s="105">
        <f>+P14+60</f>
        <v>41969</v>
      </c>
    </row>
    <row r="15" spans="1:17" s="146" customFormat="1" ht="24.75" customHeight="1">
      <c r="A15" s="432"/>
      <c r="B15" s="436"/>
      <c r="C15" s="129" t="s">
        <v>5</v>
      </c>
      <c r="D15" s="132">
        <v>97034</v>
      </c>
      <c r="E15" s="129" t="s">
        <v>13</v>
      </c>
      <c r="F15" s="125" t="s">
        <v>51</v>
      </c>
      <c r="G15" s="127" t="s">
        <v>49</v>
      </c>
      <c r="H15" s="127" t="s">
        <v>49</v>
      </c>
      <c r="I15" s="127">
        <v>41865</v>
      </c>
      <c r="J15" s="127">
        <v>41892</v>
      </c>
      <c r="K15" s="127" t="s">
        <v>49</v>
      </c>
      <c r="L15" s="127" t="s">
        <v>49</v>
      </c>
      <c r="M15" s="127" t="s">
        <v>49</v>
      </c>
      <c r="N15" s="127" t="s">
        <v>49</v>
      </c>
      <c r="O15" s="127">
        <v>41936</v>
      </c>
      <c r="P15" s="127">
        <v>41956</v>
      </c>
      <c r="Q15" s="127">
        <v>42037</v>
      </c>
    </row>
    <row r="16" spans="1:17" ht="12.75">
      <c r="A16" s="431">
        <v>7</v>
      </c>
      <c r="B16" s="430" t="s">
        <v>190</v>
      </c>
      <c r="C16" s="93" t="s">
        <v>4</v>
      </c>
      <c r="D16" s="104">
        <v>600000</v>
      </c>
      <c r="E16" s="93" t="s">
        <v>20</v>
      </c>
      <c r="F16" s="90" t="s">
        <v>52</v>
      </c>
      <c r="G16" s="92">
        <v>41598</v>
      </c>
      <c r="H16" s="92">
        <f>+G16+7</f>
        <v>41605</v>
      </c>
      <c r="I16" s="92">
        <f>+H16+2</f>
        <v>41607</v>
      </c>
      <c r="J16" s="91">
        <f>+I16+42</f>
        <v>41649</v>
      </c>
      <c r="K16" s="92">
        <f>+J16+1</f>
        <v>41650</v>
      </c>
      <c r="L16" s="92">
        <f>K16+14</f>
        <v>41664</v>
      </c>
      <c r="M16" s="92">
        <v>41731</v>
      </c>
      <c r="N16" s="92">
        <f>+M16+7</f>
        <v>41738</v>
      </c>
      <c r="O16" s="92">
        <f>+N16+3</f>
        <v>41741</v>
      </c>
      <c r="P16" s="92">
        <f>+O16+7</f>
        <v>41748</v>
      </c>
      <c r="Q16" s="105">
        <f>+P16+60</f>
        <v>41808</v>
      </c>
    </row>
    <row r="17" spans="1:17" ht="43.5" customHeight="1">
      <c r="A17" s="432"/>
      <c r="B17" s="430"/>
      <c r="C17" s="129" t="s">
        <v>5</v>
      </c>
      <c r="D17" s="337">
        <v>681877</v>
      </c>
      <c r="E17" s="129" t="s">
        <v>20</v>
      </c>
      <c r="F17" s="129" t="s">
        <v>52</v>
      </c>
      <c r="G17" s="127">
        <v>41474</v>
      </c>
      <c r="H17" s="127">
        <v>41606</v>
      </c>
      <c r="I17" s="127">
        <v>41618</v>
      </c>
      <c r="J17" s="126">
        <f>I17+42</f>
        <v>41660</v>
      </c>
      <c r="K17" s="127">
        <v>41661</v>
      </c>
      <c r="L17" s="368">
        <v>41713</v>
      </c>
      <c r="M17" s="127"/>
      <c r="N17" s="127"/>
      <c r="O17" s="127"/>
      <c r="P17" s="127"/>
      <c r="Q17" s="133"/>
    </row>
    <row r="18" spans="1:17" ht="24" customHeight="1">
      <c r="A18" s="431">
        <v>8</v>
      </c>
      <c r="B18" s="430" t="s">
        <v>211</v>
      </c>
      <c r="C18" s="93" t="s">
        <v>4</v>
      </c>
      <c r="D18" s="104">
        <v>480000</v>
      </c>
      <c r="E18" s="93" t="s">
        <v>13</v>
      </c>
      <c r="F18" s="90" t="s">
        <v>51</v>
      </c>
      <c r="G18" s="91" t="s">
        <v>49</v>
      </c>
      <c r="H18" s="92" t="s">
        <v>49</v>
      </c>
      <c r="I18" s="91">
        <v>41577</v>
      </c>
      <c r="J18" s="91">
        <f>+I18+28</f>
        <v>41605</v>
      </c>
      <c r="K18" s="92">
        <f>+J18+1</f>
        <v>41606</v>
      </c>
      <c r="L18" s="92" t="s">
        <v>49</v>
      </c>
      <c r="M18" s="92" t="s">
        <v>49</v>
      </c>
      <c r="N18" s="91" t="s">
        <v>49</v>
      </c>
      <c r="O18" s="91">
        <v>41762</v>
      </c>
      <c r="P18" s="92">
        <f>+O18+7</f>
        <v>41769</v>
      </c>
      <c r="Q18" s="105">
        <f>+P18+60</f>
        <v>41829</v>
      </c>
    </row>
    <row r="19" spans="1:17" ht="33" customHeight="1">
      <c r="A19" s="432"/>
      <c r="B19" s="430"/>
      <c r="C19" s="129" t="s">
        <v>5</v>
      </c>
      <c r="D19" s="132">
        <v>520255</v>
      </c>
      <c r="E19" s="129" t="s">
        <v>13</v>
      </c>
      <c r="F19" s="129" t="s">
        <v>51</v>
      </c>
      <c r="G19" s="127" t="s">
        <v>49</v>
      </c>
      <c r="H19" s="127" t="s">
        <v>49</v>
      </c>
      <c r="I19" s="127">
        <v>41654</v>
      </c>
      <c r="J19" s="127">
        <v>41674</v>
      </c>
      <c r="K19" s="127">
        <v>41674</v>
      </c>
      <c r="L19" s="127" t="s">
        <v>49</v>
      </c>
      <c r="M19" s="127" t="s">
        <v>49</v>
      </c>
      <c r="N19" s="127" t="s">
        <v>49</v>
      </c>
      <c r="O19" s="127">
        <v>41807</v>
      </c>
      <c r="P19" s="127">
        <v>41835</v>
      </c>
      <c r="Q19" s="127">
        <v>42034</v>
      </c>
    </row>
    <row r="20" spans="1:17" ht="12.75">
      <c r="A20" s="431">
        <v>9</v>
      </c>
      <c r="B20" s="436" t="s">
        <v>89</v>
      </c>
      <c r="C20" s="93" t="s">
        <v>4</v>
      </c>
      <c r="D20" s="104">
        <v>400000</v>
      </c>
      <c r="E20" s="93" t="s">
        <v>13</v>
      </c>
      <c r="F20" s="90" t="s">
        <v>51</v>
      </c>
      <c r="G20" s="92" t="s">
        <v>49</v>
      </c>
      <c r="H20" s="92" t="s">
        <v>49</v>
      </c>
      <c r="I20" s="92">
        <v>41207</v>
      </c>
      <c r="J20" s="91">
        <f>J21</f>
        <v>41381</v>
      </c>
      <c r="K20" s="92">
        <f>+J20+1</f>
        <v>41382</v>
      </c>
      <c r="L20" s="92" t="s">
        <v>49</v>
      </c>
      <c r="M20" s="92" t="s">
        <v>49</v>
      </c>
      <c r="N20" s="92" t="s">
        <v>49</v>
      </c>
      <c r="O20" s="91">
        <v>41777</v>
      </c>
      <c r="P20" s="92">
        <f>+O20+7</f>
        <v>41784</v>
      </c>
      <c r="Q20" s="105">
        <f>+P20+60</f>
        <v>41844</v>
      </c>
    </row>
    <row r="21" spans="1:17" ht="12.75">
      <c r="A21" s="432"/>
      <c r="B21" s="436"/>
      <c r="C21" s="129" t="s">
        <v>5</v>
      </c>
      <c r="D21" s="132">
        <v>250478</v>
      </c>
      <c r="E21" s="129" t="s">
        <v>13</v>
      </c>
      <c r="F21" s="125" t="s">
        <v>51</v>
      </c>
      <c r="G21" s="127" t="s">
        <v>49</v>
      </c>
      <c r="H21" s="127" t="s">
        <v>49</v>
      </c>
      <c r="I21" s="126">
        <v>41351</v>
      </c>
      <c r="J21" s="126">
        <v>41381</v>
      </c>
      <c r="K21" s="126">
        <v>41381</v>
      </c>
      <c r="L21" s="127" t="s">
        <v>49</v>
      </c>
      <c r="M21" s="127" t="s">
        <v>49</v>
      </c>
      <c r="N21" s="126" t="s">
        <v>49</v>
      </c>
      <c r="O21" s="126">
        <v>41528</v>
      </c>
      <c r="P21" s="126">
        <v>41554</v>
      </c>
      <c r="Q21" s="126">
        <v>41694</v>
      </c>
    </row>
    <row r="22" spans="1:17" ht="13.5" customHeight="1">
      <c r="A22" s="431">
        <v>10</v>
      </c>
      <c r="B22" s="436" t="s">
        <v>275</v>
      </c>
      <c r="C22" s="93" t="s">
        <v>4</v>
      </c>
      <c r="D22" s="104">
        <v>100000</v>
      </c>
      <c r="E22" s="93" t="s">
        <v>111</v>
      </c>
      <c r="F22" s="90" t="s">
        <v>51</v>
      </c>
      <c r="G22" s="92" t="s">
        <v>49</v>
      </c>
      <c r="H22" s="92" t="s">
        <v>49</v>
      </c>
      <c r="I22" s="92">
        <v>42185</v>
      </c>
      <c r="J22" s="91">
        <f>+I22+28</f>
        <v>42213</v>
      </c>
      <c r="K22" s="92">
        <f>+J22+1</f>
        <v>42214</v>
      </c>
      <c r="L22" s="92" t="s">
        <v>49</v>
      </c>
      <c r="M22" s="92" t="s">
        <v>49</v>
      </c>
      <c r="N22" s="92" t="s">
        <v>49</v>
      </c>
      <c r="O22" s="91">
        <v>41777</v>
      </c>
      <c r="P22" s="92">
        <f>+O22+7</f>
        <v>41784</v>
      </c>
      <c r="Q22" s="105">
        <f>+P22+60</f>
        <v>41844</v>
      </c>
    </row>
    <row r="23" spans="1:17" ht="18" customHeight="1">
      <c r="A23" s="432"/>
      <c r="B23" s="436"/>
      <c r="C23" s="129" t="s">
        <v>5</v>
      </c>
      <c r="D23" s="132"/>
      <c r="E23" s="129" t="s">
        <v>111</v>
      </c>
      <c r="F23" s="129" t="s">
        <v>51</v>
      </c>
      <c r="G23" s="127" t="s">
        <v>49</v>
      </c>
      <c r="H23" s="127" t="s">
        <v>49</v>
      </c>
      <c r="I23" s="127"/>
      <c r="J23" s="127"/>
      <c r="K23" s="127"/>
      <c r="L23" s="127" t="s">
        <v>49</v>
      </c>
      <c r="M23" s="127" t="s">
        <v>49</v>
      </c>
      <c r="N23" s="127" t="s">
        <v>49</v>
      </c>
      <c r="O23" s="127"/>
      <c r="P23" s="127"/>
      <c r="Q23" s="133"/>
    </row>
    <row r="24" spans="1:17" ht="13.5" customHeight="1">
      <c r="A24" s="431">
        <v>11</v>
      </c>
      <c r="B24" s="436" t="s">
        <v>208</v>
      </c>
      <c r="C24" s="93" t="s">
        <v>4</v>
      </c>
      <c r="D24" s="104">
        <v>562500</v>
      </c>
      <c r="E24" s="93" t="s">
        <v>20</v>
      </c>
      <c r="F24" s="90" t="s">
        <v>52</v>
      </c>
      <c r="G24" s="92">
        <v>41137</v>
      </c>
      <c r="H24" s="92">
        <f>+G24+7</f>
        <v>41144</v>
      </c>
      <c r="I24" s="92">
        <f>+H24+2</f>
        <v>41146</v>
      </c>
      <c r="J24" s="91">
        <f>+I24+42</f>
        <v>41188</v>
      </c>
      <c r="K24" s="92">
        <f>+J24+1</f>
        <v>41189</v>
      </c>
      <c r="L24" s="92">
        <f>K24+14</f>
        <v>41203</v>
      </c>
      <c r="M24" s="92">
        <f>L24+5</f>
        <v>41208</v>
      </c>
      <c r="N24" s="92">
        <f>+M24+7</f>
        <v>41215</v>
      </c>
      <c r="O24" s="92">
        <f>+N24+3</f>
        <v>41218</v>
      </c>
      <c r="P24" s="92">
        <f>+O24+7</f>
        <v>41225</v>
      </c>
      <c r="Q24" s="105">
        <f>+P24+60</f>
        <v>41285</v>
      </c>
    </row>
    <row r="25" spans="1:17" ht="43.5" customHeight="1">
      <c r="A25" s="432"/>
      <c r="B25" s="445"/>
      <c r="C25" s="129" t="s">
        <v>5</v>
      </c>
      <c r="D25" s="132">
        <v>522367.21</v>
      </c>
      <c r="E25" s="129" t="s">
        <v>20</v>
      </c>
      <c r="F25" s="125" t="s">
        <v>52</v>
      </c>
      <c r="G25" s="127">
        <v>41138</v>
      </c>
      <c r="H25" s="127">
        <v>41151</v>
      </c>
      <c r="I25" s="127">
        <v>41157</v>
      </c>
      <c r="J25" s="127">
        <v>41199</v>
      </c>
      <c r="K25" s="127">
        <v>41200</v>
      </c>
      <c r="L25" s="127">
        <v>41283</v>
      </c>
      <c r="M25" s="127">
        <v>41375</v>
      </c>
      <c r="N25" s="126" t="s">
        <v>49</v>
      </c>
      <c r="O25" s="126">
        <v>41414</v>
      </c>
      <c r="P25" s="126">
        <v>41380</v>
      </c>
      <c r="Q25" s="133">
        <f>P25+120</f>
        <v>41500</v>
      </c>
    </row>
    <row r="26" spans="1:17" ht="13.5" customHeight="1">
      <c r="A26" s="431" t="s">
        <v>209</v>
      </c>
      <c r="B26" s="405" t="s">
        <v>229</v>
      </c>
      <c r="C26" s="93" t="s">
        <v>4</v>
      </c>
      <c r="D26" s="104">
        <v>1310000</v>
      </c>
      <c r="E26" s="93" t="s">
        <v>20</v>
      </c>
      <c r="F26" s="90" t="s">
        <v>52</v>
      </c>
      <c r="G26" s="92">
        <v>41596</v>
      </c>
      <c r="H26" s="92">
        <f>+G26+7</f>
        <v>41603</v>
      </c>
      <c r="I26" s="92">
        <f>+H26+2</f>
        <v>41605</v>
      </c>
      <c r="J26" s="91">
        <f>+I26+42</f>
        <v>41647</v>
      </c>
      <c r="K26" s="92">
        <f>+J26+1</f>
        <v>41648</v>
      </c>
      <c r="L26" s="92">
        <f>K26+14</f>
        <v>41662</v>
      </c>
      <c r="M26" s="92">
        <f>L26+5</f>
        <v>41667</v>
      </c>
      <c r="N26" s="92">
        <f>+M26+7</f>
        <v>41674</v>
      </c>
      <c r="O26" s="92">
        <f>+N26+3</f>
        <v>41677</v>
      </c>
      <c r="P26" s="92">
        <f>+O26+7</f>
        <v>41684</v>
      </c>
      <c r="Q26" s="144">
        <f>+P26+60</f>
        <v>41744</v>
      </c>
    </row>
    <row r="27" spans="1:17" ht="40.5" customHeight="1">
      <c r="A27" s="444"/>
      <c r="B27" s="406"/>
      <c r="C27" s="129" t="s">
        <v>5</v>
      </c>
      <c r="D27" s="132">
        <v>902228</v>
      </c>
      <c r="E27" s="129" t="s">
        <v>20</v>
      </c>
      <c r="F27" s="125" t="s">
        <v>52</v>
      </c>
      <c r="G27" s="127">
        <v>41576</v>
      </c>
      <c r="H27" s="127">
        <v>41591</v>
      </c>
      <c r="I27" s="127">
        <v>41614</v>
      </c>
      <c r="J27" s="127">
        <f>I27+42</f>
        <v>41656</v>
      </c>
      <c r="K27" s="127">
        <v>41656</v>
      </c>
      <c r="L27" s="127">
        <v>41733</v>
      </c>
      <c r="M27" s="127">
        <v>41792</v>
      </c>
      <c r="N27" s="127">
        <v>41796</v>
      </c>
      <c r="O27" s="127">
        <v>41796</v>
      </c>
      <c r="P27" s="127">
        <v>41828</v>
      </c>
      <c r="Q27" s="127">
        <v>41892</v>
      </c>
    </row>
    <row r="28" spans="1:17" s="56" customFormat="1" ht="16.5" customHeight="1">
      <c r="A28" s="431" t="s">
        <v>210</v>
      </c>
      <c r="B28" s="405" t="s">
        <v>230</v>
      </c>
      <c r="C28" s="93" t="s">
        <v>4</v>
      </c>
      <c r="D28" s="104">
        <v>450000</v>
      </c>
      <c r="E28" s="93" t="s">
        <v>13</v>
      </c>
      <c r="F28" s="90" t="s">
        <v>51</v>
      </c>
      <c r="G28" s="91" t="s">
        <v>49</v>
      </c>
      <c r="H28" s="91" t="s">
        <v>49</v>
      </c>
      <c r="I28" s="92">
        <v>41565</v>
      </c>
      <c r="J28" s="91">
        <f>+I28+42</f>
        <v>41607</v>
      </c>
      <c r="K28" s="92">
        <f>+J28+1</f>
        <v>41608</v>
      </c>
      <c r="L28" s="92" t="s">
        <v>49</v>
      </c>
      <c r="M28" s="92" t="s">
        <v>49</v>
      </c>
      <c r="N28" s="92" t="s">
        <v>49</v>
      </c>
      <c r="O28" s="92">
        <v>41688</v>
      </c>
      <c r="P28" s="92">
        <f>+O28+7</f>
        <v>41695</v>
      </c>
      <c r="Q28" s="105">
        <f>+P28+60</f>
        <v>41755</v>
      </c>
    </row>
    <row r="29" spans="1:17" ht="37.5" customHeight="1">
      <c r="A29" s="448"/>
      <c r="B29" s="406"/>
      <c r="C29" s="129" t="s">
        <v>5</v>
      </c>
      <c r="D29" s="132">
        <v>163781</v>
      </c>
      <c r="E29" s="129" t="s">
        <v>13</v>
      </c>
      <c r="F29" s="129" t="s">
        <v>51</v>
      </c>
      <c r="G29" s="127" t="s">
        <v>49</v>
      </c>
      <c r="H29" s="127" t="s">
        <v>49</v>
      </c>
      <c r="I29" s="127">
        <v>41596</v>
      </c>
      <c r="J29" s="127">
        <v>41624</v>
      </c>
      <c r="K29" s="127">
        <v>41624</v>
      </c>
      <c r="L29" s="127" t="s">
        <v>49</v>
      </c>
      <c r="M29" s="127" t="s">
        <v>49</v>
      </c>
      <c r="N29" s="127" t="s">
        <v>49</v>
      </c>
      <c r="O29" s="127">
        <v>41703</v>
      </c>
      <c r="P29" s="127">
        <v>41732</v>
      </c>
      <c r="Q29" s="133">
        <v>41935</v>
      </c>
    </row>
    <row r="30" spans="1:17" ht="42" customHeight="1">
      <c r="A30" s="431">
        <v>13</v>
      </c>
      <c r="B30" s="430" t="s">
        <v>270</v>
      </c>
      <c r="C30" s="93" t="s">
        <v>4</v>
      </c>
      <c r="D30" s="104">
        <v>578500</v>
      </c>
      <c r="E30" s="93" t="s">
        <v>20</v>
      </c>
      <c r="F30" s="90" t="s">
        <v>52</v>
      </c>
      <c r="G30" s="92">
        <v>41149</v>
      </c>
      <c r="H30" s="92">
        <f>+G30+7</f>
        <v>41156</v>
      </c>
      <c r="I30" s="92">
        <f>+H30+2</f>
        <v>41158</v>
      </c>
      <c r="J30" s="91">
        <f>+I30+42</f>
        <v>41200</v>
      </c>
      <c r="K30" s="92">
        <f>J31+1</f>
        <v>41180</v>
      </c>
      <c r="L30" s="92">
        <f>K30+14</f>
        <v>41194</v>
      </c>
      <c r="M30" s="92">
        <f>L30+5</f>
        <v>41199</v>
      </c>
      <c r="N30" s="92">
        <f>+M30+7</f>
        <v>41206</v>
      </c>
      <c r="O30" s="92">
        <f>+N30+3</f>
        <v>41209</v>
      </c>
      <c r="P30" s="92">
        <f>+O30+7</f>
        <v>41216</v>
      </c>
      <c r="Q30" s="105">
        <f>+P30+60</f>
        <v>41276</v>
      </c>
    </row>
    <row r="31" spans="1:17" ht="48" customHeight="1">
      <c r="A31" s="432"/>
      <c r="B31" s="446"/>
      <c r="C31" s="129" t="s">
        <v>5</v>
      </c>
      <c r="D31" s="132">
        <v>586620.36</v>
      </c>
      <c r="E31" s="129" t="s">
        <v>20</v>
      </c>
      <c r="F31" s="125" t="s">
        <v>52</v>
      </c>
      <c r="G31" s="127">
        <v>41089</v>
      </c>
      <c r="H31" s="127">
        <v>41127</v>
      </c>
      <c r="I31" s="127">
        <v>41137</v>
      </c>
      <c r="J31" s="127">
        <v>41179</v>
      </c>
      <c r="K31" s="126">
        <v>41179</v>
      </c>
      <c r="L31" s="127">
        <v>41285</v>
      </c>
      <c r="M31" s="127">
        <v>41286</v>
      </c>
      <c r="N31" s="126" t="s">
        <v>49</v>
      </c>
      <c r="O31" s="126">
        <v>41359</v>
      </c>
      <c r="P31" s="126">
        <v>41407</v>
      </c>
      <c r="Q31" s="133">
        <f>P31+90</f>
        <v>41497</v>
      </c>
    </row>
    <row r="32" spans="1:17" ht="12.75">
      <c r="A32" s="433">
        <v>14</v>
      </c>
      <c r="B32" s="435" t="s">
        <v>90</v>
      </c>
      <c r="C32" s="370" t="s">
        <v>4</v>
      </c>
      <c r="D32" s="371">
        <v>450000</v>
      </c>
      <c r="E32" s="370" t="s">
        <v>13</v>
      </c>
      <c r="F32" s="370" t="s">
        <v>51</v>
      </c>
      <c r="G32" s="369" t="s">
        <v>49</v>
      </c>
      <c r="H32" s="369" t="s">
        <v>49</v>
      </c>
      <c r="I32" s="369">
        <v>41590</v>
      </c>
      <c r="J32" s="369">
        <f>+I32+28</f>
        <v>41618</v>
      </c>
      <c r="K32" s="369">
        <f>+J32+1</f>
        <v>41619</v>
      </c>
      <c r="L32" s="369" t="s">
        <v>49</v>
      </c>
      <c r="M32" s="369" t="s">
        <v>49</v>
      </c>
      <c r="N32" s="369">
        <f>J32+28</f>
        <v>41646</v>
      </c>
      <c r="O32" s="369">
        <f>+N32+3</f>
        <v>41649</v>
      </c>
      <c r="P32" s="369">
        <f>+O32+7</f>
        <v>41656</v>
      </c>
      <c r="Q32" s="372">
        <f>+P32+60</f>
        <v>41716</v>
      </c>
    </row>
    <row r="33" spans="1:17" s="146" customFormat="1" ht="27.75" customHeight="1">
      <c r="A33" s="434"/>
      <c r="B33" s="435"/>
      <c r="C33" s="366" t="s">
        <v>5</v>
      </c>
      <c r="D33" s="373">
        <v>639192.67</v>
      </c>
      <c r="E33" s="366" t="s">
        <v>13</v>
      </c>
      <c r="F33" s="366" t="s">
        <v>51</v>
      </c>
      <c r="G33" s="368" t="s">
        <v>49</v>
      </c>
      <c r="H33" s="368" t="s">
        <v>49</v>
      </c>
      <c r="I33" s="368">
        <v>41767</v>
      </c>
      <c r="J33" s="368">
        <v>41796</v>
      </c>
      <c r="K33" s="368">
        <v>41796</v>
      </c>
      <c r="L33" s="368" t="s">
        <v>49</v>
      </c>
      <c r="M33" s="368" t="s">
        <v>49</v>
      </c>
      <c r="N33" s="368" t="s">
        <v>49</v>
      </c>
      <c r="O33" s="368">
        <v>41862</v>
      </c>
      <c r="P33" s="368">
        <v>41926</v>
      </c>
      <c r="Q33" s="374"/>
    </row>
    <row r="34" spans="1:17" ht="24" customHeight="1">
      <c r="A34" s="433">
        <v>15</v>
      </c>
      <c r="B34" s="435" t="s">
        <v>274</v>
      </c>
      <c r="C34" s="370" t="s">
        <v>4</v>
      </c>
      <c r="D34" s="371">
        <v>130000</v>
      </c>
      <c r="E34" s="370" t="s">
        <v>13</v>
      </c>
      <c r="F34" s="370" t="s">
        <v>51</v>
      </c>
      <c r="G34" s="369" t="s">
        <v>49</v>
      </c>
      <c r="H34" s="369" t="s">
        <v>49</v>
      </c>
      <c r="I34" s="369">
        <v>41828</v>
      </c>
      <c r="J34" s="369">
        <f>+I34+28</f>
        <v>41856</v>
      </c>
      <c r="K34" s="369">
        <f>+J34+1</f>
        <v>41857</v>
      </c>
      <c r="L34" s="369" t="s">
        <v>49</v>
      </c>
      <c r="M34" s="369" t="s">
        <v>49</v>
      </c>
      <c r="N34" s="369" t="s">
        <v>49</v>
      </c>
      <c r="O34" s="369">
        <v>41890</v>
      </c>
      <c r="P34" s="369">
        <f>+O34+7</f>
        <v>41897</v>
      </c>
      <c r="Q34" s="372">
        <f>+P34+60</f>
        <v>41957</v>
      </c>
    </row>
    <row r="35" spans="1:17" ht="24" customHeight="1">
      <c r="A35" s="434"/>
      <c r="B35" s="435"/>
      <c r="C35" s="366" t="s">
        <v>5</v>
      </c>
      <c r="D35" s="373">
        <v>327696</v>
      </c>
      <c r="E35" s="366" t="s">
        <v>13</v>
      </c>
      <c r="F35" s="366" t="s">
        <v>51</v>
      </c>
      <c r="G35" s="368" t="s">
        <v>49</v>
      </c>
      <c r="H35" s="368" t="s">
        <v>49</v>
      </c>
      <c r="I35" s="368">
        <v>41865</v>
      </c>
      <c r="J35" s="368">
        <v>41892</v>
      </c>
      <c r="K35" s="368" t="s">
        <v>49</v>
      </c>
      <c r="L35" s="368" t="s">
        <v>49</v>
      </c>
      <c r="M35" s="368" t="s">
        <v>49</v>
      </c>
      <c r="N35" s="368" t="s">
        <v>49</v>
      </c>
      <c r="O35" s="368">
        <v>41936</v>
      </c>
      <c r="P35" s="368">
        <v>41956</v>
      </c>
      <c r="Q35" s="374"/>
    </row>
    <row r="36" spans="1:17" ht="12.75">
      <c r="A36" s="431">
        <v>16</v>
      </c>
      <c r="B36" s="436" t="s">
        <v>227</v>
      </c>
      <c r="C36" s="93" t="s">
        <v>4</v>
      </c>
      <c r="D36" s="104">
        <v>150000</v>
      </c>
      <c r="E36" s="93" t="s">
        <v>13</v>
      </c>
      <c r="F36" s="90" t="s">
        <v>51</v>
      </c>
      <c r="G36" s="92" t="s">
        <v>49</v>
      </c>
      <c r="H36" s="92" t="s">
        <v>49</v>
      </c>
      <c r="I36" s="92">
        <v>41865</v>
      </c>
      <c r="J36" s="91">
        <f>+I36+28</f>
        <v>41893</v>
      </c>
      <c r="K36" s="92">
        <f>+J36+1</f>
        <v>41894</v>
      </c>
      <c r="L36" s="92" t="s">
        <v>49</v>
      </c>
      <c r="M36" s="92" t="s">
        <v>49</v>
      </c>
      <c r="N36" s="92" t="s">
        <v>49</v>
      </c>
      <c r="O36" s="92">
        <v>41926</v>
      </c>
      <c r="P36" s="92">
        <f>+O36+7</f>
        <v>41933</v>
      </c>
      <c r="Q36" s="105">
        <f>+P36+60</f>
        <v>41993</v>
      </c>
    </row>
    <row r="37" spans="1:17" ht="12.75">
      <c r="A37" s="432"/>
      <c r="B37" s="436"/>
      <c r="C37" s="129" t="s">
        <v>5</v>
      </c>
      <c r="D37" s="132">
        <v>40571.27</v>
      </c>
      <c r="E37" s="129" t="s">
        <v>13</v>
      </c>
      <c r="F37" s="129" t="s">
        <v>51</v>
      </c>
      <c r="G37" s="127" t="s">
        <v>49</v>
      </c>
      <c r="H37" s="127" t="s">
        <v>49</v>
      </c>
      <c r="I37" s="127">
        <v>41865</v>
      </c>
      <c r="J37" s="127">
        <v>41893</v>
      </c>
      <c r="K37" s="127" t="s">
        <v>49</v>
      </c>
      <c r="L37" s="127" t="s">
        <v>49</v>
      </c>
      <c r="M37" s="127" t="s">
        <v>49</v>
      </c>
      <c r="N37" s="127" t="s">
        <v>49</v>
      </c>
      <c r="O37" s="127">
        <v>41936</v>
      </c>
      <c r="P37" s="127">
        <v>41956</v>
      </c>
      <c r="Q37" s="127">
        <v>42018</v>
      </c>
    </row>
    <row r="38" spans="1:17" ht="12.75">
      <c r="A38" s="431">
        <v>17</v>
      </c>
      <c r="B38" s="430" t="s">
        <v>188</v>
      </c>
      <c r="C38" s="93" t="s">
        <v>4</v>
      </c>
      <c r="D38" s="104">
        <v>500000</v>
      </c>
      <c r="E38" s="93" t="s">
        <v>20</v>
      </c>
      <c r="F38" s="90" t="s">
        <v>52</v>
      </c>
      <c r="G38" s="92">
        <v>41545</v>
      </c>
      <c r="H38" s="92">
        <f>+G38+7</f>
        <v>41552</v>
      </c>
      <c r="I38" s="92">
        <f>+H38+2</f>
        <v>41554</v>
      </c>
      <c r="J38" s="91">
        <f>+I38+42</f>
        <v>41596</v>
      </c>
      <c r="K38" s="92">
        <f>J38+1</f>
        <v>41597</v>
      </c>
      <c r="L38" s="92">
        <f>K38+14</f>
        <v>41611</v>
      </c>
      <c r="M38" s="92">
        <v>41726</v>
      </c>
      <c r="N38" s="91">
        <f>+M38+7</f>
        <v>41733</v>
      </c>
      <c r="O38" s="91">
        <f>+N38+3</f>
        <v>41736</v>
      </c>
      <c r="P38" s="91">
        <f>+O38+7</f>
        <v>41743</v>
      </c>
      <c r="Q38" s="144">
        <f>+P38+60</f>
        <v>41803</v>
      </c>
    </row>
    <row r="39" spans="1:17" s="146" customFormat="1" ht="27" customHeight="1">
      <c r="A39" s="432"/>
      <c r="B39" s="430"/>
      <c r="C39" s="129" t="s">
        <v>5</v>
      </c>
      <c r="D39" s="132">
        <v>617417</v>
      </c>
      <c r="E39" s="129" t="s">
        <v>20</v>
      </c>
      <c r="F39" s="129" t="s">
        <v>52</v>
      </c>
      <c r="G39" s="127">
        <v>41541</v>
      </c>
      <c r="H39" s="127">
        <v>41591</v>
      </c>
      <c r="I39" s="127">
        <v>41598</v>
      </c>
      <c r="J39" s="127">
        <v>41646</v>
      </c>
      <c r="K39" s="127">
        <v>41647</v>
      </c>
      <c r="L39" s="127">
        <v>41710</v>
      </c>
      <c r="M39" s="127">
        <v>41828</v>
      </c>
      <c r="N39" s="127">
        <v>41834</v>
      </c>
      <c r="O39" s="127">
        <v>41838</v>
      </c>
      <c r="P39" s="127">
        <v>41865</v>
      </c>
      <c r="Q39" s="133">
        <v>41989</v>
      </c>
    </row>
    <row r="40" spans="1:17" ht="13.5" customHeight="1">
      <c r="A40" s="431">
        <v>18</v>
      </c>
      <c r="B40" s="436" t="s">
        <v>110</v>
      </c>
      <c r="C40" s="93" t="s">
        <v>4</v>
      </c>
      <c r="D40" s="104">
        <v>100000</v>
      </c>
      <c r="E40" s="93" t="s">
        <v>13</v>
      </c>
      <c r="F40" s="90" t="s">
        <v>51</v>
      </c>
      <c r="G40" s="92" t="s">
        <v>49</v>
      </c>
      <c r="H40" s="92" t="s">
        <v>49</v>
      </c>
      <c r="I40" s="91">
        <v>41801</v>
      </c>
      <c r="J40" s="91">
        <f>+I40+28</f>
        <v>41829</v>
      </c>
      <c r="K40" s="91">
        <f>+J40+1</f>
        <v>41830</v>
      </c>
      <c r="L40" s="92" t="s">
        <v>49</v>
      </c>
      <c r="M40" s="92" t="s">
        <v>49</v>
      </c>
      <c r="N40" s="92" t="s">
        <v>49</v>
      </c>
      <c r="O40" s="91">
        <v>41859</v>
      </c>
      <c r="P40" s="92">
        <f>+O40+7</f>
        <v>41866</v>
      </c>
      <c r="Q40" s="105">
        <f>+P40+60</f>
        <v>41926</v>
      </c>
    </row>
    <row r="41" spans="1:17" s="146" customFormat="1" ht="12.75">
      <c r="A41" s="432"/>
      <c r="B41" s="436"/>
      <c r="C41" s="129" t="s">
        <v>5</v>
      </c>
      <c r="D41" s="132">
        <v>99013</v>
      </c>
      <c r="E41" s="129" t="s">
        <v>13</v>
      </c>
      <c r="F41" s="125" t="s">
        <v>51</v>
      </c>
      <c r="G41" s="127" t="s">
        <v>49</v>
      </c>
      <c r="H41" s="127" t="s">
        <v>49</v>
      </c>
      <c r="I41" s="126">
        <v>41928</v>
      </c>
      <c r="J41" s="126">
        <v>41955</v>
      </c>
      <c r="K41" s="126">
        <v>41955</v>
      </c>
      <c r="L41" s="125" t="s">
        <v>49</v>
      </c>
      <c r="M41" s="125" t="s">
        <v>49</v>
      </c>
      <c r="N41" s="125" t="s">
        <v>49</v>
      </c>
      <c r="O41" s="126">
        <v>41991</v>
      </c>
      <c r="P41" s="138"/>
      <c r="Q41" s="375"/>
    </row>
    <row r="42" spans="1:17" ht="12.75">
      <c r="A42" s="433">
        <v>19</v>
      </c>
      <c r="B42" s="430" t="s">
        <v>278</v>
      </c>
      <c r="C42" s="93" t="s">
        <v>4</v>
      </c>
      <c r="D42" s="104">
        <v>175000</v>
      </c>
      <c r="E42" s="93" t="s">
        <v>13</v>
      </c>
      <c r="F42" s="90" t="s">
        <v>51</v>
      </c>
      <c r="G42" s="90" t="s">
        <v>49</v>
      </c>
      <c r="H42" s="90" t="s">
        <v>49</v>
      </c>
      <c r="I42" s="92">
        <v>42274</v>
      </c>
      <c r="J42" s="91">
        <f>+I42+28</f>
        <v>42302</v>
      </c>
      <c r="K42" s="92">
        <f>+J42+1</f>
        <v>42303</v>
      </c>
      <c r="L42" s="92" t="s">
        <v>49</v>
      </c>
      <c r="M42" s="92" t="s">
        <v>49</v>
      </c>
      <c r="N42" s="92" t="s">
        <v>49</v>
      </c>
      <c r="O42" s="92">
        <v>42182</v>
      </c>
      <c r="P42" s="92">
        <f>+O42+7</f>
        <v>42189</v>
      </c>
      <c r="Q42" s="105">
        <f>+P42+60</f>
        <v>42249</v>
      </c>
    </row>
    <row r="43" spans="1:17" ht="26.25" customHeight="1">
      <c r="A43" s="434"/>
      <c r="B43" s="430"/>
      <c r="C43" s="129" t="s">
        <v>5</v>
      </c>
      <c r="D43" s="104"/>
      <c r="E43" s="93"/>
      <c r="F43" s="135"/>
      <c r="G43" s="138"/>
      <c r="H43" s="138"/>
      <c r="I43" s="138"/>
      <c r="J43" s="139"/>
      <c r="K43" s="136"/>
      <c r="L43" s="136"/>
      <c r="M43" s="136"/>
      <c r="N43" s="136"/>
      <c r="O43" s="136"/>
      <c r="P43" s="136"/>
      <c r="Q43" s="137"/>
    </row>
    <row r="44" spans="1:17" ht="12.75">
      <c r="A44" s="433">
        <v>20</v>
      </c>
      <c r="B44" s="435" t="s">
        <v>207</v>
      </c>
      <c r="C44" s="370" t="s">
        <v>4</v>
      </c>
      <c r="D44" s="371">
        <v>650000</v>
      </c>
      <c r="E44" s="370" t="s">
        <v>13</v>
      </c>
      <c r="F44" s="370" t="s">
        <v>51</v>
      </c>
      <c r="G44" s="369" t="s">
        <v>49</v>
      </c>
      <c r="H44" s="369" t="s">
        <v>49</v>
      </c>
      <c r="I44" s="369">
        <v>41856</v>
      </c>
      <c r="J44" s="369">
        <f>+I44+42</f>
        <v>41898</v>
      </c>
      <c r="K44" s="369" t="s">
        <v>49</v>
      </c>
      <c r="L44" s="369" t="s">
        <v>49</v>
      </c>
      <c r="M44" s="369" t="s">
        <v>49</v>
      </c>
      <c r="N44" s="369" t="s">
        <v>49</v>
      </c>
      <c r="O44" s="369">
        <v>41948</v>
      </c>
      <c r="P44" s="369">
        <f>+O44+7</f>
        <v>41955</v>
      </c>
      <c r="Q44" s="372">
        <f>+P44+60</f>
        <v>42015</v>
      </c>
    </row>
    <row r="45" spans="1:17" ht="24.75" customHeight="1">
      <c r="A45" s="434"/>
      <c r="B45" s="435"/>
      <c r="C45" s="366" t="s">
        <v>5</v>
      </c>
      <c r="D45" s="373">
        <f>65899227/90</f>
        <v>732213.6333333333</v>
      </c>
      <c r="E45" s="366" t="s">
        <v>13</v>
      </c>
      <c r="F45" s="366" t="s">
        <v>51</v>
      </c>
      <c r="G45" s="368" t="s">
        <v>49</v>
      </c>
      <c r="H45" s="368" t="s">
        <v>49</v>
      </c>
      <c r="I45" s="368">
        <v>41866</v>
      </c>
      <c r="J45" s="368">
        <v>41912</v>
      </c>
      <c r="K45" s="368" t="s">
        <v>49</v>
      </c>
      <c r="L45" s="368" t="s">
        <v>49</v>
      </c>
      <c r="M45" s="368" t="s">
        <v>49</v>
      </c>
      <c r="N45" s="368" t="s">
        <v>49</v>
      </c>
      <c r="O45" s="368">
        <v>42349</v>
      </c>
      <c r="P45" s="368">
        <v>42034</v>
      </c>
      <c r="Q45" s="374"/>
    </row>
    <row r="46" spans="1:17" ht="24.75" customHeight="1">
      <c r="A46" s="447">
        <v>21</v>
      </c>
      <c r="B46" s="405" t="s">
        <v>426</v>
      </c>
      <c r="C46" s="93" t="s">
        <v>4</v>
      </c>
      <c r="D46" s="104">
        <v>16000</v>
      </c>
      <c r="E46" s="93" t="s">
        <v>111</v>
      </c>
      <c r="F46" s="93" t="s">
        <v>51</v>
      </c>
      <c r="G46" s="92" t="s">
        <v>49</v>
      </c>
      <c r="H46" s="92" t="s">
        <v>49</v>
      </c>
      <c r="I46" s="92">
        <v>42227</v>
      </c>
      <c r="J46" s="91">
        <f>I46+7</f>
        <v>42234</v>
      </c>
      <c r="K46" s="92" t="s">
        <v>49</v>
      </c>
      <c r="L46" s="92" t="s">
        <v>49</v>
      </c>
      <c r="M46" s="92" t="s">
        <v>49</v>
      </c>
      <c r="N46" s="92" t="s">
        <v>49</v>
      </c>
      <c r="O46" s="91">
        <v>42277</v>
      </c>
      <c r="P46" s="91">
        <f>O46+7</f>
        <v>42284</v>
      </c>
      <c r="Q46" s="144">
        <f>P46+90</f>
        <v>42374</v>
      </c>
    </row>
    <row r="47" spans="1:17" ht="14.25" customHeight="1">
      <c r="A47" s="432"/>
      <c r="B47" s="406"/>
      <c r="C47" s="129" t="s">
        <v>5</v>
      </c>
      <c r="D47" s="132"/>
      <c r="E47" s="129" t="s">
        <v>111</v>
      </c>
      <c r="F47" s="129" t="s">
        <v>51</v>
      </c>
      <c r="G47" s="127" t="s">
        <v>49</v>
      </c>
      <c r="H47" s="127" t="s">
        <v>49</v>
      </c>
      <c r="I47" s="127">
        <v>42242</v>
      </c>
      <c r="J47" s="126">
        <v>42258</v>
      </c>
      <c r="K47" s="127"/>
      <c r="L47" s="127"/>
      <c r="M47" s="127"/>
      <c r="N47" s="127"/>
      <c r="O47" s="126"/>
      <c r="P47" s="126"/>
      <c r="Q47" s="148"/>
    </row>
    <row r="48" spans="1:17" ht="14.25" customHeight="1">
      <c r="A48" s="447">
        <v>22</v>
      </c>
      <c r="B48" s="405" t="s">
        <v>430</v>
      </c>
      <c r="C48" s="93" t="s">
        <v>4</v>
      </c>
      <c r="D48" s="104">
        <v>400000</v>
      </c>
      <c r="E48" s="93" t="s">
        <v>13</v>
      </c>
      <c r="F48" s="93" t="s">
        <v>51</v>
      </c>
      <c r="G48" s="92" t="s">
        <v>49</v>
      </c>
      <c r="H48" s="92" t="s">
        <v>49</v>
      </c>
      <c r="I48" s="92">
        <v>42257</v>
      </c>
      <c r="J48" s="91">
        <f>I48+33</f>
        <v>42290</v>
      </c>
      <c r="K48" s="92" t="s">
        <v>49</v>
      </c>
      <c r="L48" s="92" t="s">
        <v>49</v>
      </c>
      <c r="M48" s="92" t="s">
        <v>49</v>
      </c>
      <c r="N48" s="92" t="s">
        <v>49</v>
      </c>
      <c r="O48" s="91">
        <f>J48+23</f>
        <v>42313</v>
      </c>
      <c r="P48" s="91">
        <f>O48+14</f>
        <v>42327</v>
      </c>
      <c r="Q48" s="144">
        <f>P48+120</f>
        <v>42447</v>
      </c>
    </row>
    <row r="49" spans="1:17" ht="39" customHeight="1">
      <c r="A49" s="432"/>
      <c r="B49" s="406"/>
      <c r="C49" s="129" t="s">
        <v>5</v>
      </c>
      <c r="D49" s="132"/>
      <c r="E49" s="129" t="s">
        <v>13</v>
      </c>
      <c r="F49" s="129" t="s">
        <v>51</v>
      </c>
      <c r="G49" s="127" t="s">
        <v>49</v>
      </c>
      <c r="H49" s="127" t="s">
        <v>49</v>
      </c>
      <c r="I49" s="127"/>
      <c r="J49" s="126"/>
      <c r="K49" s="127" t="s">
        <v>49</v>
      </c>
      <c r="L49" s="127" t="s">
        <v>49</v>
      </c>
      <c r="M49" s="127" t="s">
        <v>49</v>
      </c>
      <c r="N49" s="127" t="s">
        <v>49</v>
      </c>
      <c r="O49" s="126"/>
      <c r="P49" s="126"/>
      <c r="Q49" s="148"/>
    </row>
    <row r="50" spans="1:17" ht="12.75">
      <c r="A50" s="106"/>
      <c r="B50" s="93" t="s">
        <v>42</v>
      </c>
      <c r="C50" s="93" t="s">
        <v>4</v>
      </c>
      <c r="D50" s="140">
        <f>D6+D8+D10+D12+D14+D16+D18+D20+D22+D24+D26+D28+D30+D32+D34+D36+D38+D40+D42+D44+D46</f>
        <v>9222000</v>
      </c>
      <c r="E50" s="93"/>
      <c r="F50" s="93"/>
      <c r="G50" s="92"/>
      <c r="H50" s="92"/>
      <c r="I50" s="92"/>
      <c r="J50" s="91"/>
      <c r="K50" s="92"/>
      <c r="L50" s="92"/>
      <c r="M50" s="92"/>
      <c r="N50" s="92"/>
      <c r="O50" s="92"/>
      <c r="P50" s="92"/>
      <c r="Q50" s="105"/>
    </row>
    <row r="51" spans="1:17" s="1" customFormat="1" ht="12.75">
      <c r="A51" s="62"/>
      <c r="B51" s="107"/>
      <c r="C51" s="129" t="s">
        <v>5</v>
      </c>
      <c r="D51" s="206">
        <f>D7+D9+D11+D13+D15+D17+D19+D21+D23+D25+D27+D29+D31+D33+D35+D37+D39+D41+D43+D45</f>
        <v>9652867.223333333</v>
      </c>
      <c r="E51" s="108"/>
      <c r="F51" s="108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s="1" customFormat="1" ht="12.75">
      <c r="A52" s="427"/>
      <c r="B52" s="426"/>
      <c r="C52" s="31" t="s">
        <v>58</v>
      </c>
      <c r="D52" s="32"/>
      <c r="E52" s="44"/>
      <c r="F52" s="44"/>
      <c r="G52" s="33"/>
      <c r="H52" s="33"/>
      <c r="I52" s="33"/>
      <c r="J52" s="34"/>
      <c r="K52" s="33"/>
      <c r="L52" s="33"/>
      <c r="M52" s="33"/>
      <c r="N52" s="33"/>
      <c r="O52" s="33"/>
      <c r="P52" s="33"/>
      <c r="Q52" s="33"/>
    </row>
    <row r="53" spans="1:17" s="1" customFormat="1" ht="12.75">
      <c r="A53" s="427"/>
      <c r="B53" s="443"/>
      <c r="C53" s="110"/>
      <c r="D53" s="32"/>
      <c r="E53" s="31"/>
      <c r="F53" s="4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1" customFormat="1" ht="14.25" customHeight="1">
      <c r="A54" s="25"/>
      <c r="B54" s="24"/>
      <c r="C54" s="143"/>
      <c r="D54" s="27"/>
      <c r="E54" s="48"/>
      <c r="F54" s="28"/>
      <c r="G54" s="27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1" customFormat="1" ht="12.75">
      <c r="A55" s="427"/>
      <c r="B55" s="426"/>
      <c r="C55" s="35"/>
      <c r="D55" s="32"/>
      <c r="E55" s="32"/>
      <c r="F55" s="32"/>
      <c r="G55" s="33"/>
      <c r="H55" s="33"/>
      <c r="I55" s="33"/>
      <c r="J55" s="34"/>
      <c r="K55" s="33"/>
      <c r="L55" s="33"/>
      <c r="M55" s="33"/>
      <c r="N55" s="33"/>
      <c r="O55" s="33"/>
      <c r="P55" s="33"/>
      <c r="Q55" s="33"/>
    </row>
    <row r="56" spans="1:17" s="1" customFormat="1" ht="12.75">
      <c r="A56" s="427"/>
      <c r="B56" s="441"/>
      <c r="C56" s="28"/>
      <c r="D56" s="32"/>
      <c r="E56" s="31"/>
      <c r="F56" s="154"/>
      <c r="G56" s="33"/>
      <c r="H56" s="33"/>
      <c r="I56" s="33"/>
      <c r="J56" s="34"/>
      <c r="K56" s="33"/>
      <c r="L56" s="33"/>
      <c r="M56" s="33"/>
      <c r="N56" s="33"/>
      <c r="O56" s="33"/>
      <c r="P56" s="33"/>
      <c r="Q56" s="33"/>
    </row>
    <row r="57" spans="1:17" s="1" customFormat="1" ht="12.75">
      <c r="A57" s="25"/>
      <c r="B57" s="153"/>
      <c r="C57" s="28"/>
      <c r="D57" s="32"/>
      <c r="E57" s="31"/>
      <c r="F57" s="31"/>
      <c r="G57" s="33"/>
      <c r="H57" s="33"/>
      <c r="I57" s="33"/>
      <c r="J57" s="34"/>
      <c r="K57" s="33"/>
      <c r="L57" s="33"/>
      <c r="M57" s="33"/>
      <c r="N57" s="33"/>
      <c r="O57" s="33"/>
      <c r="P57" s="33"/>
      <c r="Q57" s="33"/>
    </row>
    <row r="58" spans="1:17" s="1" customFormat="1" ht="24.75" customHeight="1">
      <c r="A58" s="427"/>
      <c r="B58" s="426"/>
      <c r="C58" s="35"/>
      <c r="D58" s="32"/>
      <c r="E58" s="31"/>
      <c r="F58" s="31"/>
      <c r="G58" s="33"/>
      <c r="H58" s="33"/>
      <c r="I58" s="33"/>
      <c r="J58" s="34"/>
      <c r="K58" s="33"/>
      <c r="L58" s="33"/>
      <c r="M58" s="33"/>
      <c r="N58" s="33"/>
      <c r="O58" s="33"/>
      <c r="P58" s="33"/>
      <c r="Q58" s="33"/>
    </row>
    <row r="59" spans="1:17" s="1" customFormat="1" ht="19.5" customHeight="1">
      <c r="A59" s="427"/>
      <c r="B59" s="426"/>
      <c r="C59" s="28"/>
      <c r="D59" s="32"/>
      <c r="E59" s="31"/>
      <c r="F59" s="31"/>
      <c r="G59" s="33"/>
      <c r="H59" s="33"/>
      <c r="I59" s="33"/>
      <c r="J59" s="34"/>
      <c r="K59" s="33"/>
      <c r="L59" s="33"/>
      <c r="M59" s="33"/>
      <c r="N59" s="33"/>
      <c r="O59" s="33"/>
      <c r="P59" s="33"/>
      <c r="Q59" s="33"/>
    </row>
    <row r="60" spans="1:17" s="1" customFormat="1" ht="12.75">
      <c r="A60" s="25"/>
      <c r="B60" s="30"/>
      <c r="C60" s="35"/>
      <c r="D60" s="32"/>
      <c r="E60" s="31"/>
      <c r="F60" s="31"/>
      <c r="G60" s="33"/>
      <c r="H60" s="33"/>
      <c r="I60" s="33"/>
      <c r="J60" s="34"/>
      <c r="K60" s="33"/>
      <c r="L60" s="33"/>
      <c r="M60" s="33"/>
      <c r="N60" s="33"/>
      <c r="O60" s="33"/>
      <c r="P60" s="33"/>
      <c r="Q60" s="33"/>
    </row>
    <row r="61" spans="1:17" s="1" customFormat="1" ht="12.75">
      <c r="A61" s="427"/>
      <c r="B61" s="426"/>
      <c r="C61" s="35"/>
      <c r="D61" s="32"/>
      <c r="E61" s="31"/>
      <c r="F61" s="31"/>
      <c r="G61" s="33"/>
      <c r="H61" s="33"/>
      <c r="I61" s="33"/>
      <c r="J61" s="34"/>
      <c r="K61" s="33"/>
      <c r="L61" s="33"/>
      <c r="M61" s="33"/>
      <c r="N61" s="33"/>
      <c r="O61" s="33"/>
      <c r="P61" s="33"/>
      <c r="Q61" s="33"/>
    </row>
    <row r="62" spans="1:17" s="1" customFormat="1" ht="12.75">
      <c r="A62" s="427"/>
      <c r="B62" s="426"/>
      <c r="C62" s="28"/>
      <c r="D62" s="32"/>
      <c r="E62" s="31"/>
      <c r="F62" s="31"/>
      <c r="G62" s="33"/>
      <c r="H62" s="33"/>
      <c r="I62" s="33"/>
      <c r="J62" s="34"/>
      <c r="K62" s="33"/>
      <c r="L62" s="33"/>
      <c r="M62" s="33"/>
      <c r="N62" s="33"/>
      <c r="O62" s="33"/>
      <c r="P62" s="33"/>
      <c r="Q62" s="33"/>
    </row>
    <row r="63" spans="1:17" s="1" customFormat="1" ht="12.75">
      <c r="A63" s="25"/>
      <c r="B63" s="30"/>
      <c r="C63" s="28"/>
      <c r="D63" s="32"/>
      <c r="E63" s="31"/>
      <c r="F63" s="31"/>
      <c r="G63" s="33"/>
      <c r="H63" s="33"/>
      <c r="I63" s="33"/>
      <c r="J63" s="34"/>
      <c r="K63" s="33"/>
      <c r="L63" s="33"/>
      <c r="M63" s="33"/>
      <c r="N63" s="33"/>
      <c r="O63" s="33"/>
      <c r="P63" s="33"/>
      <c r="Q63" s="33"/>
    </row>
    <row r="64" spans="1:17" s="1" customFormat="1" ht="12.75">
      <c r="A64" s="427"/>
      <c r="B64" s="426"/>
      <c r="C64" s="35"/>
      <c r="D64" s="32"/>
      <c r="E64" s="35"/>
      <c r="F64" s="35"/>
      <c r="G64" s="33"/>
      <c r="H64" s="33"/>
      <c r="I64" s="33"/>
      <c r="J64" s="34"/>
      <c r="K64" s="33"/>
      <c r="L64" s="33"/>
      <c r="M64" s="33"/>
      <c r="N64" s="33"/>
      <c r="O64" s="33"/>
      <c r="P64" s="33"/>
      <c r="Q64" s="33"/>
    </row>
    <row r="65" spans="1:17" s="1" customFormat="1" ht="12.75">
      <c r="A65" s="427"/>
      <c r="B65" s="426"/>
      <c r="C65" s="28"/>
      <c r="D65" s="32"/>
      <c r="E65" s="31"/>
      <c r="F65" s="31"/>
      <c r="G65" s="33"/>
      <c r="H65" s="33"/>
      <c r="I65" s="33"/>
      <c r="J65" s="34"/>
      <c r="K65" s="33"/>
      <c r="L65" s="33"/>
      <c r="M65" s="33"/>
      <c r="N65" s="33"/>
      <c r="O65" s="33"/>
      <c r="P65" s="33"/>
      <c r="Q65" s="33"/>
    </row>
    <row r="66" spans="1:17" s="1" customFormat="1" ht="12.75">
      <c r="A66" s="25"/>
      <c r="B66" s="30"/>
      <c r="C66" s="28"/>
      <c r="D66" s="32"/>
      <c r="E66" s="31"/>
      <c r="F66" s="31"/>
      <c r="G66" s="33"/>
      <c r="H66" s="33"/>
      <c r="I66" s="33"/>
      <c r="J66" s="34"/>
      <c r="K66" s="33"/>
      <c r="L66" s="33"/>
      <c r="M66" s="33"/>
      <c r="N66" s="33"/>
      <c r="O66" s="33"/>
      <c r="P66" s="33"/>
      <c r="Q66" s="33"/>
    </row>
    <row r="67" spans="1:17" s="1" customFormat="1" ht="12.75">
      <c r="A67" s="427"/>
      <c r="B67" s="426"/>
      <c r="C67" s="35"/>
      <c r="D67" s="32"/>
      <c r="E67" s="31"/>
      <c r="F67" s="31"/>
      <c r="G67" s="33"/>
      <c r="H67" s="33"/>
      <c r="I67" s="33"/>
      <c r="J67" s="34"/>
      <c r="K67" s="33"/>
      <c r="L67" s="33"/>
      <c r="M67" s="33"/>
      <c r="N67" s="33"/>
      <c r="O67" s="33"/>
      <c r="P67" s="33"/>
      <c r="Q67" s="33"/>
    </row>
    <row r="68" spans="1:17" s="1" customFormat="1" ht="14.25" customHeight="1">
      <c r="A68" s="427"/>
      <c r="B68" s="426"/>
      <c r="C68" s="26"/>
      <c r="D68" s="32"/>
      <c r="E68" s="31"/>
      <c r="F68" s="31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1" customFormat="1" ht="13.5" customHeight="1">
      <c r="A69" s="25"/>
      <c r="B69" s="30"/>
      <c r="C69" s="26"/>
      <c r="D69" s="32"/>
      <c r="E69" s="31"/>
      <c r="F69" s="31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s="1" customFormat="1" ht="14.25" customHeight="1">
      <c r="A70" s="427"/>
      <c r="B70" s="426"/>
      <c r="C70" s="35"/>
      <c r="D70" s="32"/>
      <c r="E70" s="31"/>
      <c r="F70" s="31"/>
      <c r="G70" s="33"/>
      <c r="H70" s="33"/>
      <c r="I70" s="33"/>
      <c r="J70" s="34"/>
      <c r="K70" s="33"/>
      <c r="L70" s="33"/>
      <c r="M70" s="33"/>
      <c r="N70" s="33"/>
      <c r="O70" s="33"/>
      <c r="P70" s="33"/>
      <c r="Q70" s="33"/>
    </row>
    <row r="71" spans="1:17" s="1" customFormat="1" ht="14.25" customHeight="1">
      <c r="A71" s="427"/>
      <c r="B71" s="442"/>
      <c r="C71" s="28"/>
      <c r="D71" s="32"/>
      <c r="E71" s="31"/>
      <c r="F71" s="31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1" customFormat="1" ht="14.25" customHeight="1">
      <c r="A72" s="25"/>
      <c r="B72" s="30"/>
      <c r="C72" s="26"/>
      <c r="D72" s="32"/>
      <c r="E72" s="31"/>
      <c r="F72" s="31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s="1" customFormat="1" ht="12.75">
      <c r="A73" s="427"/>
      <c r="B73" s="426"/>
      <c r="C73" s="35"/>
      <c r="D73" s="32"/>
      <c r="E73" s="31"/>
      <c r="F73" s="31"/>
      <c r="G73" s="33"/>
      <c r="H73" s="33"/>
      <c r="I73" s="33"/>
      <c r="J73" s="34"/>
      <c r="K73" s="33"/>
      <c r="L73" s="33"/>
      <c r="M73" s="33"/>
      <c r="N73" s="33"/>
      <c r="O73" s="33"/>
      <c r="P73" s="33"/>
      <c r="Q73" s="33"/>
    </row>
    <row r="74" spans="1:17" s="1" customFormat="1" ht="12.75">
      <c r="A74" s="427"/>
      <c r="B74" s="426"/>
      <c r="C74" s="26"/>
      <c r="D74" s="32"/>
      <c r="E74" s="31"/>
      <c r="F74" s="3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1" customFormat="1" ht="12.75">
      <c r="A75" s="25"/>
      <c r="B75" s="30"/>
      <c r="C75" s="26"/>
      <c r="D75" s="32"/>
      <c r="E75" s="31"/>
      <c r="F75" s="31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s="1" customFormat="1" ht="12.75">
      <c r="A76" s="427"/>
      <c r="B76" s="426"/>
      <c r="C76" s="35"/>
      <c r="D76" s="32"/>
      <c r="E76" s="31"/>
      <c r="F76" s="31"/>
      <c r="G76" s="33"/>
      <c r="H76" s="33"/>
      <c r="I76" s="33"/>
      <c r="J76" s="34"/>
      <c r="K76" s="33"/>
      <c r="L76" s="33"/>
      <c r="M76" s="33"/>
      <c r="N76" s="33"/>
      <c r="O76" s="33"/>
      <c r="P76" s="33"/>
      <c r="Q76" s="33"/>
    </row>
    <row r="77" spans="1:17" s="1" customFormat="1" ht="12.75">
      <c r="A77" s="427"/>
      <c r="B77" s="426"/>
      <c r="C77" s="26"/>
      <c r="D77" s="32"/>
      <c r="E77" s="31"/>
      <c r="F77" s="31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s="1" customFormat="1" ht="12.75">
      <c r="A78" s="25"/>
      <c r="B78" s="30"/>
      <c r="C78" s="26"/>
      <c r="D78" s="32"/>
      <c r="E78" s="31"/>
      <c r="F78" s="3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s="1" customFormat="1" ht="12.75">
      <c r="A79" s="25"/>
      <c r="B79" s="30"/>
      <c r="C79" s="26"/>
      <c r="D79" s="32"/>
      <c r="E79" s="28"/>
      <c r="F79" s="2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s="1" customFormat="1" ht="12.75">
      <c r="A80" s="439"/>
      <c r="B80" s="437"/>
      <c r="C80" s="35"/>
      <c r="D80" s="36"/>
      <c r="E80" s="37"/>
      <c r="F80" s="37"/>
      <c r="G80" s="38"/>
      <c r="H80" s="38"/>
      <c r="I80" s="38"/>
      <c r="J80" s="39"/>
      <c r="K80" s="38"/>
      <c r="L80" s="38"/>
      <c r="M80" s="38"/>
      <c r="N80" s="38"/>
      <c r="O80" s="38"/>
      <c r="P80" s="38"/>
      <c r="Q80" s="38"/>
    </row>
    <row r="81" spans="1:10" s="1" customFormat="1" ht="12.75">
      <c r="A81" s="440"/>
      <c r="B81" s="438"/>
      <c r="C81" s="40"/>
      <c r="D81" s="41"/>
      <c r="E81" s="42"/>
      <c r="F81" s="42"/>
      <c r="J81" s="43"/>
    </row>
    <row r="82" spans="1:17" ht="12.75">
      <c r="A82" s="1"/>
      <c r="C82" s="2"/>
      <c r="D82" s="2"/>
      <c r="E82" s="2"/>
      <c r="F82" s="2"/>
      <c r="Q82" s="7" t="s">
        <v>36</v>
      </c>
    </row>
    <row r="83" spans="3:4" ht="12.75">
      <c r="C83" s="5"/>
      <c r="D83" s="6"/>
    </row>
    <row r="84" ht="12.75">
      <c r="D84" s="15"/>
    </row>
  </sheetData>
  <sheetProtection/>
  <mergeCells count="67">
    <mergeCell ref="A48:A49"/>
    <mergeCell ref="B48:B49"/>
    <mergeCell ref="B46:B47"/>
    <mergeCell ref="A46:A47"/>
    <mergeCell ref="A30:A31"/>
    <mergeCell ref="A28:A29"/>
    <mergeCell ref="B28:B29"/>
    <mergeCell ref="A44:A45"/>
    <mergeCell ref="B44:B45"/>
    <mergeCell ref="B42:B43"/>
    <mergeCell ref="A22:A23"/>
    <mergeCell ref="A26:A27"/>
    <mergeCell ref="B24:B25"/>
    <mergeCell ref="B34:B35"/>
    <mergeCell ref="B38:B39"/>
    <mergeCell ref="A36:A37"/>
    <mergeCell ref="B30:B31"/>
    <mergeCell ref="A12:A13"/>
    <mergeCell ref="A24:A25"/>
    <mergeCell ref="A40:A41"/>
    <mergeCell ref="A38:A39"/>
    <mergeCell ref="A55:A56"/>
    <mergeCell ref="B16:B17"/>
    <mergeCell ref="B52:B53"/>
    <mergeCell ref="B36:B37"/>
    <mergeCell ref="A34:A35"/>
    <mergeCell ref="B22:B23"/>
    <mergeCell ref="A61:A62"/>
    <mergeCell ref="A58:A59"/>
    <mergeCell ref="B70:B71"/>
    <mergeCell ref="A6:A7"/>
    <mergeCell ref="A10:A11"/>
    <mergeCell ref="B8:B9"/>
    <mergeCell ref="A67:A68"/>
    <mergeCell ref="B20:B21"/>
    <mergeCell ref="B12:B13"/>
    <mergeCell ref="A8:A9"/>
    <mergeCell ref="B40:B41"/>
    <mergeCell ref="A42:A43"/>
    <mergeCell ref="A14:A15"/>
    <mergeCell ref="B14:B15"/>
    <mergeCell ref="A16:A17"/>
    <mergeCell ref="B80:B81"/>
    <mergeCell ref="A80:A81"/>
    <mergeCell ref="B55:B56"/>
    <mergeCell ref="B61:B62"/>
    <mergeCell ref="B64:B65"/>
    <mergeCell ref="A20:A21"/>
    <mergeCell ref="B18:B19"/>
    <mergeCell ref="B76:B77"/>
    <mergeCell ref="A73:A74"/>
    <mergeCell ref="B73:B74"/>
    <mergeCell ref="A76:A77"/>
    <mergeCell ref="B67:B68"/>
    <mergeCell ref="B26:B27"/>
    <mergeCell ref="A32:A33"/>
    <mergeCell ref="B32:B33"/>
    <mergeCell ref="C2:Q2"/>
    <mergeCell ref="C3:Q3"/>
    <mergeCell ref="B58:B59"/>
    <mergeCell ref="A64:A65"/>
    <mergeCell ref="A70:A71"/>
    <mergeCell ref="B1:Q1"/>
    <mergeCell ref="B6:B7"/>
    <mergeCell ref="B10:B11"/>
    <mergeCell ref="A52:A53"/>
    <mergeCell ref="A18:A19"/>
  </mergeCells>
  <printOptions/>
  <pageMargins left="1.52" right="0.75" top="0.87" bottom="1" header="0.5" footer="0.5"/>
  <pageSetup fitToHeight="1" fitToWidth="1"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2" sqref="D32"/>
    </sheetView>
  </sheetViews>
  <sheetFormatPr defaultColWidth="9.140625" defaultRowHeight="12.75"/>
  <cols>
    <col min="1" max="1" width="4.140625" style="166" bestFit="1" customWidth="1"/>
    <col min="2" max="2" width="30.28125" style="166" customWidth="1"/>
    <col min="3" max="3" width="13.28125" style="218" customWidth="1"/>
    <col min="4" max="4" width="13.7109375" style="218" bestFit="1" customWidth="1"/>
    <col min="5" max="5" width="12.140625" style="166" customWidth="1"/>
    <col min="6" max="6" width="7.7109375" style="166" customWidth="1"/>
    <col min="7" max="7" width="8.28125" style="166" customWidth="1"/>
    <col min="8" max="8" width="12.140625" style="166" customWidth="1"/>
    <col min="9" max="9" width="12.7109375" style="166" customWidth="1"/>
    <col min="10" max="10" width="9.140625" style="166" customWidth="1"/>
    <col min="11" max="11" width="12.140625" style="166" customWidth="1"/>
    <col min="12" max="12" width="22.421875" style="166" customWidth="1"/>
    <col min="13" max="13" width="9.140625" style="166" customWidth="1"/>
    <col min="14" max="14" width="11.57421875" style="166" bestFit="1" customWidth="1"/>
    <col min="15" max="16384" width="9.140625" style="166" customWidth="1"/>
  </cols>
  <sheetData>
    <row r="1" spans="1:11" ht="22.5">
      <c r="A1" s="162"/>
      <c r="B1" s="163" t="s">
        <v>123</v>
      </c>
      <c r="C1" s="212"/>
      <c r="D1" s="212"/>
      <c r="E1" s="162"/>
      <c r="F1" s="164"/>
      <c r="G1" s="165"/>
      <c r="H1" s="165"/>
      <c r="I1" s="162"/>
      <c r="J1" s="165"/>
      <c r="K1" s="162"/>
    </row>
    <row r="2" spans="1:11" ht="14.25">
      <c r="A2" s="162"/>
      <c r="B2" s="167" t="s">
        <v>346</v>
      </c>
      <c r="C2" s="213"/>
      <c r="D2" s="213"/>
      <c r="E2" s="168"/>
      <c r="F2" s="169"/>
      <c r="G2" s="170"/>
      <c r="H2" s="170"/>
      <c r="I2" s="162"/>
      <c r="J2" s="165"/>
      <c r="K2" s="162"/>
    </row>
    <row r="3" spans="1:11" ht="14.25">
      <c r="A3" s="162"/>
      <c r="B3" s="167" t="s">
        <v>347</v>
      </c>
      <c r="C3" s="213"/>
      <c r="D3" s="213"/>
      <c r="E3" s="168"/>
      <c r="F3" s="169"/>
      <c r="G3" s="170"/>
      <c r="H3" s="170"/>
      <c r="I3" s="162"/>
      <c r="J3" s="165"/>
      <c r="K3" s="162"/>
    </row>
    <row r="4" spans="1:11" ht="14.25">
      <c r="A4" s="162"/>
      <c r="B4" s="173" t="s">
        <v>348</v>
      </c>
      <c r="C4" s="212"/>
      <c r="D4" s="212"/>
      <c r="E4" s="162"/>
      <c r="F4" s="164"/>
      <c r="G4" s="165"/>
      <c r="H4" s="165"/>
      <c r="I4" s="162"/>
      <c r="J4" s="165"/>
      <c r="K4" s="162"/>
    </row>
    <row r="5" spans="1:11" ht="14.25">
      <c r="A5" s="171"/>
      <c r="B5" s="172" t="s">
        <v>246</v>
      </c>
      <c r="C5" s="214"/>
      <c r="D5" s="214"/>
      <c r="E5" s="171"/>
      <c r="F5" s="171"/>
      <c r="G5" s="171"/>
      <c r="H5" s="171"/>
      <c r="I5" s="171"/>
      <c r="J5" s="171"/>
      <c r="K5" s="171"/>
    </row>
    <row r="6" spans="1:11" s="202" customFormat="1" ht="14.25">
      <c r="A6" s="174"/>
      <c r="B6" s="175"/>
      <c r="C6" s="217"/>
      <c r="D6" s="217"/>
      <c r="E6" s="178"/>
      <c r="F6" s="176"/>
      <c r="G6" s="177"/>
      <c r="H6" s="177"/>
      <c r="I6" s="178"/>
      <c r="J6" s="177"/>
      <c r="K6" s="178"/>
    </row>
    <row r="7" spans="1:11" s="202" customFormat="1" ht="14.25">
      <c r="A7" s="174"/>
      <c r="B7" s="240"/>
      <c r="C7" s="241"/>
      <c r="D7" s="241"/>
      <c r="E7" s="242"/>
      <c r="F7" s="243"/>
      <c r="G7" s="244"/>
      <c r="H7" s="244"/>
      <c r="I7" s="244"/>
      <c r="J7" s="244"/>
      <c r="K7" s="244"/>
    </row>
    <row r="8" spans="1:12" s="202" customFormat="1" ht="20.25">
      <c r="A8" s="310" t="s">
        <v>56</v>
      </c>
      <c r="B8" s="246" t="s">
        <v>59</v>
      </c>
      <c r="C8" s="313" t="s">
        <v>398</v>
      </c>
      <c r="D8" s="313" t="s">
        <v>397</v>
      </c>
      <c r="E8" s="324" t="s">
        <v>5</v>
      </c>
      <c r="F8" s="248" t="s">
        <v>18</v>
      </c>
      <c r="G8" s="249" t="s">
        <v>60</v>
      </c>
      <c r="H8" s="249" t="s">
        <v>427</v>
      </c>
      <c r="I8" s="247" t="s">
        <v>61</v>
      </c>
      <c r="J8" s="249" t="s">
        <v>62</v>
      </c>
      <c r="K8" s="247" t="s">
        <v>19</v>
      </c>
      <c r="L8" s="249" t="s">
        <v>269</v>
      </c>
    </row>
    <row r="9" spans="1:12" s="202" customFormat="1" ht="30">
      <c r="A9" s="245">
        <v>1</v>
      </c>
      <c r="B9" s="250" t="s">
        <v>126</v>
      </c>
      <c r="C9" s="314">
        <v>700000</v>
      </c>
      <c r="D9" s="314">
        <f>C9/87.15</f>
        <v>8032.128514056224</v>
      </c>
      <c r="E9" s="325">
        <v>278000</v>
      </c>
      <c r="F9" s="251">
        <v>4</v>
      </c>
      <c r="G9" s="252" t="s">
        <v>237</v>
      </c>
      <c r="H9" s="253">
        <v>5</v>
      </c>
      <c r="I9" s="254" t="s">
        <v>127</v>
      </c>
      <c r="J9" s="253" t="s">
        <v>128</v>
      </c>
      <c r="K9" s="255" t="s">
        <v>247</v>
      </c>
      <c r="L9" s="255"/>
    </row>
    <row r="10" spans="1:12" s="202" customFormat="1" ht="14.25">
      <c r="A10" s="245">
        <v>2</v>
      </c>
      <c r="B10" s="256" t="s">
        <v>248</v>
      </c>
      <c r="C10" s="315">
        <v>1000000</v>
      </c>
      <c r="D10" s="314">
        <f aca="true" t="shared" si="0" ref="D10:D33">C10/87.15</f>
        <v>11474.469305794606</v>
      </c>
      <c r="E10" s="326">
        <v>576776</v>
      </c>
      <c r="F10" s="257">
        <v>5</v>
      </c>
      <c r="G10" s="258" t="s">
        <v>249</v>
      </c>
      <c r="H10" s="258">
        <v>5</v>
      </c>
      <c r="I10" s="259" t="s">
        <v>129</v>
      </c>
      <c r="J10" s="258" t="s">
        <v>125</v>
      </c>
      <c r="K10" s="260" t="s">
        <v>250</v>
      </c>
      <c r="L10" s="255" t="s">
        <v>349</v>
      </c>
    </row>
    <row r="11" spans="1:12" s="202" customFormat="1" ht="14.25">
      <c r="A11" s="245">
        <v>3</v>
      </c>
      <c r="B11" s="256" t="s">
        <v>130</v>
      </c>
      <c r="C11" s="315">
        <v>1013850</v>
      </c>
      <c r="D11" s="314">
        <f t="shared" si="0"/>
        <v>11633.390705679862</v>
      </c>
      <c r="E11" s="326"/>
      <c r="F11" s="257">
        <v>2</v>
      </c>
      <c r="G11" s="258" t="s">
        <v>350</v>
      </c>
      <c r="H11" s="258">
        <v>3</v>
      </c>
      <c r="I11" s="259" t="s">
        <v>194</v>
      </c>
      <c r="J11" s="258" t="s">
        <v>125</v>
      </c>
      <c r="K11" s="260"/>
      <c r="L11" s="255"/>
    </row>
    <row r="12" spans="1:12" s="202" customFormat="1" ht="14.25">
      <c r="A12" s="245">
        <v>4</v>
      </c>
      <c r="B12" s="256" t="s">
        <v>167</v>
      </c>
      <c r="C12" s="315">
        <v>200000</v>
      </c>
      <c r="D12" s="314">
        <f t="shared" si="0"/>
        <v>2294.893861158921</v>
      </c>
      <c r="E12" s="326">
        <v>221400</v>
      </c>
      <c r="F12" s="257">
        <v>5</v>
      </c>
      <c r="G12" s="258" t="s">
        <v>285</v>
      </c>
      <c r="H12" s="258">
        <v>5</v>
      </c>
      <c r="I12" s="259" t="s">
        <v>131</v>
      </c>
      <c r="J12" s="258" t="s">
        <v>128</v>
      </c>
      <c r="K12" s="260" t="s">
        <v>250</v>
      </c>
      <c r="L12" s="255"/>
    </row>
    <row r="13" spans="1:12" s="202" customFormat="1" ht="14.25">
      <c r="A13" s="245">
        <v>5</v>
      </c>
      <c r="B13" s="261" t="s">
        <v>132</v>
      </c>
      <c r="C13" s="316">
        <v>700000</v>
      </c>
      <c r="D13" s="314">
        <f t="shared" si="0"/>
        <v>8032.128514056224</v>
      </c>
      <c r="E13" s="327"/>
      <c r="F13" s="262">
        <v>2</v>
      </c>
      <c r="G13" s="263" t="s">
        <v>350</v>
      </c>
      <c r="H13" s="264">
        <v>5</v>
      </c>
      <c r="I13" s="265" t="s">
        <v>133</v>
      </c>
      <c r="J13" s="263" t="s">
        <v>125</v>
      </c>
      <c r="K13" s="266"/>
      <c r="L13" s="255"/>
    </row>
    <row r="14" spans="1:12" s="202" customFormat="1" ht="14.25">
      <c r="A14" s="245">
        <v>6</v>
      </c>
      <c r="B14" s="256" t="s">
        <v>134</v>
      </c>
      <c r="C14" s="315">
        <v>500000</v>
      </c>
      <c r="D14" s="314">
        <f t="shared" si="0"/>
        <v>5737.234652897303</v>
      </c>
      <c r="E14" s="326">
        <v>908400</v>
      </c>
      <c r="F14" s="257">
        <v>5</v>
      </c>
      <c r="G14" s="258" t="s">
        <v>178</v>
      </c>
      <c r="H14" s="258">
        <v>5</v>
      </c>
      <c r="I14" s="259" t="s">
        <v>135</v>
      </c>
      <c r="J14" s="258" t="s">
        <v>125</v>
      </c>
      <c r="K14" s="260" t="s">
        <v>250</v>
      </c>
      <c r="L14" s="255"/>
    </row>
    <row r="15" spans="1:12" s="202" customFormat="1" ht="14.25">
      <c r="A15" s="245">
        <v>7</v>
      </c>
      <c r="B15" s="261" t="s">
        <v>196</v>
      </c>
      <c r="C15" s="316">
        <v>200000</v>
      </c>
      <c r="D15" s="314">
        <f t="shared" si="0"/>
        <v>2294.893861158921</v>
      </c>
      <c r="E15" s="328">
        <v>116870</v>
      </c>
      <c r="F15" s="267">
        <v>1</v>
      </c>
      <c r="G15" s="264" t="s">
        <v>251</v>
      </c>
      <c r="H15" s="264">
        <v>5</v>
      </c>
      <c r="I15" s="268" t="s">
        <v>137</v>
      </c>
      <c r="J15" s="264" t="s">
        <v>125</v>
      </c>
      <c r="K15" s="269" t="s">
        <v>250</v>
      </c>
      <c r="L15" s="255"/>
    </row>
    <row r="16" spans="1:12" s="202" customFormat="1" ht="14.25">
      <c r="A16" s="245">
        <v>8</v>
      </c>
      <c r="B16" s="256" t="s">
        <v>252</v>
      </c>
      <c r="C16" s="315">
        <v>500000</v>
      </c>
      <c r="D16" s="314">
        <f t="shared" si="0"/>
        <v>5737.234652897303</v>
      </c>
      <c r="E16" s="326">
        <v>566600</v>
      </c>
      <c r="F16" s="257">
        <v>4</v>
      </c>
      <c r="G16" s="258" t="s">
        <v>161</v>
      </c>
      <c r="H16" s="258">
        <v>4</v>
      </c>
      <c r="I16" s="259" t="s">
        <v>197</v>
      </c>
      <c r="J16" s="258" t="s">
        <v>125</v>
      </c>
      <c r="K16" s="260" t="s">
        <v>250</v>
      </c>
      <c r="L16" s="255" t="s">
        <v>286</v>
      </c>
    </row>
    <row r="17" spans="1:12" s="202" customFormat="1" ht="14.25">
      <c r="A17" s="245">
        <v>9</v>
      </c>
      <c r="B17" s="256" t="s">
        <v>138</v>
      </c>
      <c r="C17" s="315">
        <v>500000</v>
      </c>
      <c r="D17" s="314">
        <f t="shared" si="0"/>
        <v>5737.234652897303</v>
      </c>
      <c r="E17" s="326">
        <v>575600</v>
      </c>
      <c r="F17" s="257">
        <v>4</v>
      </c>
      <c r="G17" s="258" t="s">
        <v>351</v>
      </c>
      <c r="H17" s="258">
        <v>4</v>
      </c>
      <c r="I17" s="259" t="s">
        <v>197</v>
      </c>
      <c r="J17" s="258" t="s">
        <v>125</v>
      </c>
      <c r="K17" s="260" t="s">
        <v>250</v>
      </c>
      <c r="L17" s="255" t="s">
        <v>286</v>
      </c>
    </row>
    <row r="18" spans="1:12" s="202" customFormat="1" ht="14.25">
      <c r="A18" s="245">
        <v>10</v>
      </c>
      <c r="B18" s="256" t="s">
        <v>139</v>
      </c>
      <c r="C18" s="315">
        <v>624660</v>
      </c>
      <c r="D18" s="314">
        <f t="shared" si="0"/>
        <v>7167.641996557659</v>
      </c>
      <c r="E18" s="326"/>
      <c r="F18" s="257">
        <v>3</v>
      </c>
      <c r="G18" s="258" t="s">
        <v>350</v>
      </c>
      <c r="H18" s="258">
        <v>30</v>
      </c>
      <c r="I18" s="259" t="s">
        <v>140</v>
      </c>
      <c r="J18" s="258" t="s">
        <v>125</v>
      </c>
      <c r="K18" s="260"/>
      <c r="L18" s="255"/>
    </row>
    <row r="19" spans="1:12" s="202" customFormat="1" ht="14.25">
      <c r="A19" s="245">
        <v>11</v>
      </c>
      <c r="B19" s="270" t="s">
        <v>253</v>
      </c>
      <c r="C19" s="315">
        <v>4350000</v>
      </c>
      <c r="D19" s="314">
        <f t="shared" si="0"/>
        <v>49913.94148020654</v>
      </c>
      <c r="E19" s="326"/>
      <c r="F19" s="257">
        <v>200</v>
      </c>
      <c r="G19" s="258" t="s">
        <v>293</v>
      </c>
      <c r="H19" s="258">
        <v>5</v>
      </c>
      <c r="I19" s="259" t="s">
        <v>198</v>
      </c>
      <c r="J19" s="258" t="s">
        <v>141</v>
      </c>
      <c r="K19" s="260"/>
      <c r="L19" s="255"/>
    </row>
    <row r="20" spans="1:12" s="202" customFormat="1" ht="14.25">
      <c r="A20" s="245">
        <v>12</v>
      </c>
      <c r="B20" s="271" t="s">
        <v>142</v>
      </c>
      <c r="C20" s="316">
        <v>800000</v>
      </c>
      <c r="D20" s="314">
        <f t="shared" si="0"/>
        <v>9179.575444635684</v>
      </c>
      <c r="E20" s="328">
        <v>1105138</v>
      </c>
      <c r="F20" s="267">
        <v>1</v>
      </c>
      <c r="G20" s="264" t="s">
        <v>178</v>
      </c>
      <c r="H20" s="264">
        <v>21</v>
      </c>
      <c r="I20" s="271" t="s">
        <v>143</v>
      </c>
      <c r="J20" s="264" t="s">
        <v>144</v>
      </c>
      <c r="K20" s="269" t="s">
        <v>250</v>
      </c>
      <c r="L20" s="255" t="s">
        <v>286</v>
      </c>
    </row>
    <row r="21" spans="1:12" s="202" customFormat="1" ht="14.25">
      <c r="A21" s="245">
        <v>13</v>
      </c>
      <c r="B21" s="271" t="s">
        <v>145</v>
      </c>
      <c r="C21" s="316">
        <v>400000</v>
      </c>
      <c r="D21" s="314">
        <f t="shared" si="0"/>
        <v>4589.787722317842</v>
      </c>
      <c r="E21" s="328">
        <v>476411</v>
      </c>
      <c r="F21" s="267">
        <v>1</v>
      </c>
      <c r="G21" s="264" t="s">
        <v>237</v>
      </c>
      <c r="H21" s="264">
        <v>10</v>
      </c>
      <c r="I21" s="271" t="s">
        <v>146</v>
      </c>
      <c r="J21" s="264" t="s">
        <v>147</v>
      </c>
      <c r="K21" s="269" t="s">
        <v>250</v>
      </c>
      <c r="L21" s="255" t="s">
        <v>286</v>
      </c>
    </row>
    <row r="22" spans="1:12" s="202" customFormat="1" ht="14.25">
      <c r="A22" s="245">
        <v>14</v>
      </c>
      <c r="B22" s="270" t="s">
        <v>199</v>
      </c>
      <c r="C22" s="315">
        <v>300000</v>
      </c>
      <c r="D22" s="314">
        <f t="shared" si="0"/>
        <v>3442.340791738382</v>
      </c>
      <c r="E22" s="326"/>
      <c r="F22" s="257">
        <v>3</v>
      </c>
      <c r="G22" s="258" t="s">
        <v>352</v>
      </c>
      <c r="H22" s="258">
        <v>5</v>
      </c>
      <c r="I22" s="272" t="s">
        <v>148</v>
      </c>
      <c r="J22" s="258" t="s">
        <v>125</v>
      </c>
      <c r="K22" s="260"/>
      <c r="L22" s="255"/>
    </row>
    <row r="23" spans="1:12" s="202" customFormat="1" ht="14.25">
      <c r="A23" s="245">
        <v>15</v>
      </c>
      <c r="B23" s="256" t="s">
        <v>353</v>
      </c>
      <c r="C23" s="315">
        <v>364379</v>
      </c>
      <c r="D23" s="314">
        <f t="shared" si="0"/>
        <v>4181.055651176132</v>
      </c>
      <c r="E23" s="326"/>
      <c r="F23" s="257">
        <v>2</v>
      </c>
      <c r="G23" s="258" t="s">
        <v>354</v>
      </c>
      <c r="H23" s="258">
        <v>14</v>
      </c>
      <c r="I23" s="259" t="s">
        <v>355</v>
      </c>
      <c r="J23" s="258" t="s">
        <v>125</v>
      </c>
      <c r="K23" s="273"/>
      <c r="L23" s="255"/>
    </row>
    <row r="24" spans="1:12" s="202" customFormat="1" ht="14.25">
      <c r="A24" s="245">
        <v>16</v>
      </c>
      <c r="B24" s="256" t="s">
        <v>201</v>
      </c>
      <c r="C24" s="315">
        <v>350000</v>
      </c>
      <c r="D24" s="314">
        <f t="shared" si="0"/>
        <v>4016.064257028112</v>
      </c>
      <c r="E24" s="326">
        <v>363593</v>
      </c>
      <c r="F24" s="257">
        <v>1</v>
      </c>
      <c r="G24" s="258" t="s">
        <v>202</v>
      </c>
      <c r="H24" s="258">
        <v>5</v>
      </c>
      <c r="I24" s="259" t="s">
        <v>203</v>
      </c>
      <c r="J24" s="258" t="s">
        <v>147</v>
      </c>
      <c r="K24" s="273" t="s">
        <v>250</v>
      </c>
      <c r="L24" s="255"/>
    </row>
    <row r="25" spans="1:12" s="202" customFormat="1" ht="14.25">
      <c r="A25" s="245">
        <v>17</v>
      </c>
      <c r="B25" s="256" t="s">
        <v>287</v>
      </c>
      <c r="C25" s="315">
        <v>685260</v>
      </c>
      <c r="D25" s="314">
        <f t="shared" si="0"/>
        <v>7862.994836488812</v>
      </c>
      <c r="E25" s="326">
        <v>423722</v>
      </c>
      <c r="F25" s="257">
        <v>10</v>
      </c>
      <c r="G25" s="258" t="s">
        <v>136</v>
      </c>
      <c r="H25" s="258">
        <v>2</v>
      </c>
      <c r="I25" s="259" t="s">
        <v>204</v>
      </c>
      <c r="J25" s="258" t="s">
        <v>125</v>
      </c>
      <c r="K25" s="273" t="s">
        <v>250</v>
      </c>
      <c r="L25" s="255"/>
    </row>
    <row r="26" spans="1:12" s="202" customFormat="1" ht="14.25">
      <c r="A26" s="245">
        <v>18</v>
      </c>
      <c r="B26" s="256" t="s">
        <v>288</v>
      </c>
      <c r="C26" s="315">
        <v>764590</v>
      </c>
      <c r="D26" s="314">
        <f t="shared" si="0"/>
        <v>8773.264486517499</v>
      </c>
      <c r="E26" s="326"/>
      <c r="F26" s="257">
        <v>4</v>
      </c>
      <c r="G26" s="274" t="s">
        <v>356</v>
      </c>
      <c r="H26" s="258">
        <v>2</v>
      </c>
      <c r="I26" s="259" t="s">
        <v>166</v>
      </c>
      <c r="J26" s="258" t="s">
        <v>289</v>
      </c>
      <c r="K26" s="273"/>
      <c r="L26" s="255"/>
    </row>
    <row r="27" spans="1:12" s="202" customFormat="1" ht="14.25">
      <c r="A27" s="245">
        <v>19</v>
      </c>
      <c r="B27" s="256" t="s">
        <v>290</v>
      </c>
      <c r="C27" s="315">
        <v>1170000</v>
      </c>
      <c r="D27" s="314">
        <f t="shared" si="0"/>
        <v>13425.12908777969</v>
      </c>
      <c r="E27" s="326"/>
      <c r="F27" s="257">
        <v>4</v>
      </c>
      <c r="G27" s="274" t="s">
        <v>357</v>
      </c>
      <c r="H27" s="258">
        <v>2</v>
      </c>
      <c r="I27" s="259" t="s">
        <v>166</v>
      </c>
      <c r="J27" s="258" t="s">
        <v>289</v>
      </c>
      <c r="K27" s="273"/>
      <c r="L27" s="255"/>
    </row>
    <row r="28" spans="1:12" s="202" customFormat="1" ht="14.25">
      <c r="A28" s="245">
        <v>20</v>
      </c>
      <c r="B28" s="256" t="s">
        <v>291</v>
      </c>
      <c r="C28" s="315">
        <v>750000</v>
      </c>
      <c r="D28" s="314">
        <f t="shared" si="0"/>
        <v>8605.851979345955</v>
      </c>
      <c r="E28" s="326">
        <v>230355</v>
      </c>
      <c r="F28" s="257">
        <v>4</v>
      </c>
      <c r="G28" s="258" t="s">
        <v>358</v>
      </c>
      <c r="H28" s="258">
        <v>2</v>
      </c>
      <c r="I28" s="259" t="s">
        <v>166</v>
      </c>
      <c r="J28" s="258" t="s">
        <v>125</v>
      </c>
      <c r="K28" s="273" t="s">
        <v>250</v>
      </c>
      <c r="L28" s="255"/>
    </row>
    <row r="29" spans="1:12" s="202" customFormat="1" ht="14.25">
      <c r="A29" s="245">
        <v>21</v>
      </c>
      <c r="B29" s="256" t="s">
        <v>292</v>
      </c>
      <c r="C29" s="315">
        <v>750000</v>
      </c>
      <c r="D29" s="314">
        <f t="shared" si="0"/>
        <v>8605.851979345955</v>
      </c>
      <c r="E29" s="326"/>
      <c r="F29" s="257">
        <v>4</v>
      </c>
      <c r="G29" s="258" t="s">
        <v>359</v>
      </c>
      <c r="H29" s="258">
        <v>2</v>
      </c>
      <c r="I29" s="259" t="s">
        <v>166</v>
      </c>
      <c r="J29" s="258" t="s">
        <v>360</v>
      </c>
      <c r="K29" s="273"/>
      <c r="L29" s="255"/>
    </row>
    <row r="30" spans="1:12" s="202" customFormat="1" ht="20.25">
      <c r="A30" s="245">
        <v>22</v>
      </c>
      <c r="B30" s="256" t="s">
        <v>361</v>
      </c>
      <c r="C30" s="315">
        <v>1000000</v>
      </c>
      <c r="D30" s="314">
        <f t="shared" si="0"/>
        <v>11474.469305794606</v>
      </c>
      <c r="E30" s="326"/>
      <c r="F30" s="257">
        <v>6</v>
      </c>
      <c r="G30" s="274" t="s">
        <v>350</v>
      </c>
      <c r="H30" s="258">
        <v>4</v>
      </c>
      <c r="I30" s="259" t="s">
        <v>362</v>
      </c>
      <c r="J30" s="258" t="s">
        <v>125</v>
      </c>
      <c r="K30" s="273"/>
      <c r="L30" s="255"/>
    </row>
    <row r="31" spans="1:12" s="202" customFormat="1" ht="14.25">
      <c r="A31" s="245">
        <v>23</v>
      </c>
      <c r="B31" s="256" t="s">
        <v>363</v>
      </c>
      <c r="C31" s="315">
        <v>700000</v>
      </c>
      <c r="D31" s="314">
        <f t="shared" si="0"/>
        <v>8032.128514056224</v>
      </c>
      <c r="E31" s="326"/>
      <c r="F31" s="257">
        <v>1</v>
      </c>
      <c r="G31" s="258" t="s">
        <v>364</v>
      </c>
      <c r="H31" s="258">
        <v>14</v>
      </c>
      <c r="I31" s="259" t="s">
        <v>365</v>
      </c>
      <c r="J31" s="258" t="s">
        <v>366</v>
      </c>
      <c r="K31" s="273"/>
      <c r="L31" s="255"/>
    </row>
    <row r="32" spans="1:12" s="202" customFormat="1" ht="14.25">
      <c r="A32" s="350">
        <v>24</v>
      </c>
      <c r="B32" s="351" t="s">
        <v>339</v>
      </c>
      <c r="C32" s="352"/>
      <c r="D32" s="349">
        <v>150000</v>
      </c>
      <c r="E32" s="361"/>
      <c r="F32" s="362"/>
      <c r="G32" s="363"/>
      <c r="H32" s="363"/>
      <c r="I32" s="364" t="s">
        <v>428</v>
      </c>
      <c r="J32" s="363"/>
      <c r="K32" s="365"/>
      <c r="L32" s="255"/>
    </row>
    <row r="33" spans="1:12" s="202" customFormat="1" ht="14.25">
      <c r="A33" s="245"/>
      <c r="B33" s="275" t="s">
        <v>150</v>
      </c>
      <c r="C33" s="304">
        <v>0</v>
      </c>
      <c r="D33" s="314">
        <f t="shared" si="0"/>
        <v>0</v>
      </c>
      <c r="E33" s="326">
        <v>0</v>
      </c>
      <c r="F33" s="257"/>
      <c r="G33" s="276"/>
      <c r="H33" s="258"/>
      <c r="I33" s="272"/>
      <c r="J33" s="258"/>
      <c r="K33" s="260"/>
      <c r="L33" s="255"/>
    </row>
    <row r="34" spans="1:12" s="202" customFormat="1" ht="14.25">
      <c r="A34" s="277">
        <v>1</v>
      </c>
      <c r="B34" s="278" t="s">
        <v>255</v>
      </c>
      <c r="C34" s="317">
        <v>1600074</v>
      </c>
      <c r="D34" s="314">
        <f>C34/87.15</f>
        <v>18360</v>
      </c>
      <c r="E34" s="326">
        <v>1769538</v>
      </c>
      <c r="F34" s="257">
        <v>3</v>
      </c>
      <c r="G34" s="258" t="s">
        <v>256</v>
      </c>
      <c r="H34" s="258">
        <v>10</v>
      </c>
      <c r="I34" s="270" t="s">
        <v>226</v>
      </c>
      <c r="J34" s="279" t="s">
        <v>225</v>
      </c>
      <c r="K34" s="280" t="s">
        <v>250</v>
      </c>
      <c r="L34" s="255" t="s">
        <v>367</v>
      </c>
    </row>
    <row r="35" spans="1:12" s="202" customFormat="1" ht="14.25">
      <c r="A35" s="277">
        <v>2</v>
      </c>
      <c r="B35" s="278" t="s">
        <v>185</v>
      </c>
      <c r="C35" s="317">
        <v>2054114</v>
      </c>
      <c r="D35" s="314">
        <f>C35/87.15</f>
        <v>23569.868043602983</v>
      </c>
      <c r="E35" s="326">
        <v>12423</v>
      </c>
      <c r="F35" s="257">
        <v>4</v>
      </c>
      <c r="G35" s="281" t="s">
        <v>257</v>
      </c>
      <c r="H35" s="258">
        <v>5</v>
      </c>
      <c r="I35" s="270" t="s">
        <v>368</v>
      </c>
      <c r="J35" s="279" t="s">
        <v>179</v>
      </c>
      <c r="K35" s="280"/>
      <c r="L35" s="255"/>
    </row>
    <row r="36" spans="1:12" s="202" customFormat="1" ht="14.25">
      <c r="A36" s="277">
        <v>3</v>
      </c>
      <c r="B36" s="278" t="s">
        <v>151</v>
      </c>
      <c r="C36" s="317">
        <v>2400000</v>
      </c>
      <c r="D36" s="314">
        <f>C36/87.15</f>
        <v>27538.726333907056</v>
      </c>
      <c r="E36" s="329">
        <v>4145438</v>
      </c>
      <c r="F36" s="282">
        <v>8</v>
      </c>
      <c r="G36" s="279" t="s">
        <v>195</v>
      </c>
      <c r="H36" s="258">
        <v>5</v>
      </c>
      <c r="I36" s="283" t="s">
        <v>152</v>
      </c>
      <c r="J36" s="279" t="s">
        <v>153</v>
      </c>
      <c r="K36" s="284" t="s">
        <v>250</v>
      </c>
      <c r="L36" s="255" t="s">
        <v>367</v>
      </c>
    </row>
    <row r="37" spans="1:12" s="202" customFormat="1" ht="14.25">
      <c r="A37" s="270"/>
      <c r="B37" s="275" t="s">
        <v>43</v>
      </c>
      <c r="C37" s="304">
        <f>SUM(C9:C36)</f>
        <v>24376927</v>
      </c>
      <c r="D37" s="215">
        <f>SUM(D9:D36)</f>
        <v>429712.3006310958</v>
      </c>
      <c r="E37" s="305">
        <f>SUM(E9:E36)/87.15</f>
        <v>135057.53298909924</v>
      </c>
      <c r="F37" s="257"/>
      <c r="G37" s="258"/>
      <c r="H37" s="258"/>
      <c r="I37" s="270"/>
      <c r="J37" s="258"/>
      <c r="K37" s="270"/>
      <c r="L37" s="306"/>
    </row>
    <row r="38" spans="1:12" s="202" customFormat="1" ht="14.25">
      <c r="A38" s="285"/>
      <c r="B38" s="286"/>
      <c r="C38" s="318"/>
      <c r="D38" s="319"/>
      <c r="E38" s="287"/>
      <c r="F38" s="285"/>
      <c r="G38" s="285"/>
      <c r="H38" s="285"/>
      <c r="I38" s="285"/>
      <c r="J38" s="285"/>
      <c r="K38" s="288"/>
      <c r="L38" s="309"/>
    </row>
    <row r="39" spans="1:12" s="202" customFormat="1" ht="14.25">
      <c r="A39" s="285"/>
      <c r="B39" s="285"/>
      <c r="C39" s="320"/>
      <c r="D39" s="319"/>
      <c r="E39" s="287"/>
      <c r="F39" s="285"/>
      <c r="G39" s="285"/>
      <c r="H39" s="285"/>
      <c r="I39" s="285"/>
      <c r="J39" s="285"/>
      <c r="K39" s="288"/>
      <c r="L39" s="309"/>
    </row>
    <row r="40" spans="1:12" s="202" customFormat="1" ht="14.25">
      <c r="A40" s="285"/>
      <c r="B40" s="286" t="s">
        <v>154</v>
      </c>
      <c r="C40" s="320"/>
      <c r="D40" s="319"/>
      <c r="E40" s="287"/>
      <c r="F40" s="285"/>
      <c r="G40" s="285"/>
      <c r="H40" s="285"/>
      <c r="I40" s="285"/>
      <c r="J40" s="285"/>
      <c r="K40" s="288"/>
      <c r="L40" s="309"/>
    </row>
    <row r="41" spans="1:12" s="202" customFormat="1" ht="14.25">
      <c r="A41" s="285"/>
      <c r="B41" s="286" t="s">
        <v>155</v>
      </c>
      <c r="C41" s="320"/>
      <c r="D41" s="319"/>
      <c r="E41" s="287"/>
      <c r="F41" s="285"/>
      <c r="G41" s="285"/>
      <c r="H41" s="285"/>
      <c r="I41" s="285"/>
      <c r="J41" s="285"/>
      <c r="K41" s="288"/>
      <c r="L41" s="309"/>
    </row>
    <row r="42" spans="1:12" s="202" customFormat="1" ht="14.25">
      <c r="A42" s="245" t="s">
        <v>56</v>
      </c>
      <c r="B42" s="246" t="s">
        <v>59</v>
      </c>
      <c r="C42" s="313"/>
      <c r="D42" s="313"/>
      <c r="E42" s="307"/>
      <c r="F42" s="248"/>
      <c r="G42" s="249"/>
      <c r="H42" s="308"/>
      <c r="I42" s="247"/>
      <c r="J42" s="249"/>
      <c r="K42" s="247"/>
      <c r="L42" s="253"/>
    </row>
    <row r="43" spans="1:12" s="202" customFormat="1" ht="20.25">
      <c r="A43" s="275">
        <v>1</v>
      </c>
      <c r="B43" s="256" t="s">
        <v>156</v>
      </c>
      <c r="C43" s="321">
        <v>1500000</v>
      </c>
      <c r="D43" s="321">
        <f>C43/87.15</f>
        <v>17211.70395869191</v>
      </c>
      <c r="E43" s="330"/>
      <c r="F43" s="256">
        <v>10</v>
      </c>
      <c r="G43" s="256" t="s">
        <v>359</v>
      </c>
      <c r="H43" s="256">
        <v>5</v>
      </c>
      <c r="I43" s="256" t="s">
        <v>157</v>
      </c>
      <c r="J43" s="256" t="s">
        <v>128</v>
      </c>
      <c r="K43" s="256"/>
      <c r="L43" s="253"/>
    </row>
    <row r="44" spans="1:12" s="202" customFormat="1" ht="20.25">
      <c r="A44" s="289">
        <v>2</v>
      </c>
      <c r="B44" s="256" t="s">
        <v>158</v>
      </c>
      <c r="C44" s="321">
        <v>500000</v>
      </c>
      <c r="D44" s="321">
        <f aca="true" t="shared" si="1" ref="D44:D69">C44/87.15</f>
        <v>5737.234652897303</v>
      </c>
      <c r="E44" s="330">
        <v>686499</v>
      </c>
      <c r="F44" s="256">
        <v>15</v>
      </c>
      <c r="G44" s="256" t="s">
        <v>136</v>
      </c>
      <c r="H44" s="256">
        <v>5</v>
      </c>
      <c r="I44" s="256" t="s">
        <v>159</v>
      </c>
      <c r="J44" s="256" t="s">
        <v>125</v>
      </c>
      <c r="K44" s="290" t="s">
        <v>250</v>
      </c>
      <c r="L44" s="253"/>
    </row>
    <row r="45" spans="1:12" s="202" customFormat="1" ht="20.25">
      <c r="A45" s="275">
        <v>3</v>
      </c>
      <c r="B45" s="291" t="s">
        <v>160</v>
      </c>
      <c r="C45" s="322">
        <v>1000000</v>
      </c>
      <c r="D45" s="321">
        <f t="shared" si="1"/>
        <v>11474.469305794606</v>
      </c>
      <c r="E45" s="331">
        <v>292000</v>
      </c>
      <c r="F45" s="292">
        <v>10</v>
      </c>
      <c r="G45" s="293" t="s">
        <v>136</v>
      </c>
      <c r="H45" s="258">
        <v>5</v>
      </c>
      <c r="I45" s="294" t="s">
        <v>129</v>
      </c>
      <c r="J45" s="293" t="s">
        <v>125</v>
      </c>
      <c r="K45" s="295" t="s">
        <v>250</v>
      </c>
      <c r="L45" s="253"/>
    </row>
    <row r="46" spans="1:12" s="202" customFormat="1" ht="20.25">
      <c r="A46" s="289">
        <v>4</v>
      </c>
      <c r="B46" s="256" t="s">
        <v>361</v>
      </c>
      <c r="C46" s="315">
        <v>2500000</v>
      </c>
      <c r="D46" s="321">
        <f t="shared" si="1"/>
        <v>28686.173264486515</v>
      </c>
      <c r="E46" s="326"/>
      <c r="F46" s="257">
        <v>14</v>
      </c>
      <c r="G46" s="258" t="s">
        <v>369</v>
      </c>
      <c r="H46" s="258">
        <v>5</v>
      </c>
      <c r="I46" s="258" t="s">
        <v>149</v>
      </c>
      <c r="J46" s="258" t="s">
        <v>125</v>
      </c>
      <c r="K46" s="273"/>
      <c r="L46" s="253"/>
    </row>
    <row r="47" spans="1:12" s="202" customFormat="1" ht="20.25">
      <c r="A47" s="275">
        <v>5</v>
      </c>
      <c r="B47" s="256" t="s">
        <v>162</v>
      </c>
      <c r="C47" s="321">
        <v>1000000</v>
      </c>
      <c r="D47" s="321">
        <f t="shared" si="1"/>
        <v>11474.469305794606</v>
      </c>
      <c r="E47" s="330">
        <v>731000</v>
      </c>
      <c r="F47" s="256">
        <v>30</v>
      </c>
      <c r="G47" s="256" t="s">
        <v>136</v>
      </c>
      <c r="H47" s="256">
        <v>5</v>
      </c>
      <c r="I47" s="256" t="s">
        <v>163</v>
      </c>
      <c r="J47" s="256" t="s">
        <v>125</v>
      </c>
      <c r="K47" s="290" t="s">
        <v>250</v>
      </c>
      <c r="L47" s="253"/>
    </row>
    <row r="48" spans="1:12" s="202" customFormat="1" ht="20.25">
      <c r="A48" s="275">
        <v>7</v>
      </c>
      <c r="B48" s="256" t="s">
        <v>164</v>
      </c>
      <c r="C48" s="315">
        <v>2000000</v>
      </c>
      <c r="D48" s="321">
        <f t="shared" si="1"/>
        <v>22948.938611589212</v>
      </c>
      <c r="E48" s="326">
        <v>2480973</v>
      </c>
      <c r="F48" s="257">
        <v>50</v>
      </c>
      <c r="G48" s="274" t="s">
        <v>254</v>
      </c>
      <c r="H48" s="258">
        <v>5</v>
      </c>
      <c r="I48" s="258" t="s">
        <v>129</v>
      </c>
      <c r="J48" s="258" t="s">
        <v>125</v>
      </c>
      <c r="K48" s="273" t="s">
        <v>250</v>
      </c>
      <c r="L48" s="253" t="s">
        <v>349</v>
      </c>
    </row>
    <row r="49" spans="1:12" s="202" customFormat="1" ht="14.25">
      <c r="A49" s="289">
        <v>8</v>
      </c>
      <c r="B49" s="256" t="s">
        <v>165</v>
      </c>
      <c r="C49" s="315">
        <v>1000000</v>
      </c>
      <c r="D49" s="321">
        <f t="shared" si="1"/>
        <v>11474.469305794606</v>
      </c>
      <c r="E49" s="326">
        <v>1105138</v>
      </c>
      <c r="F49" s="257">
        <v>25</v>
      </c>
      <c r="G49" s="258" t="s">
        <v>258</v>
      </c>
      <c r="H49" s="258">
        <v>5</v>
      </c>
      <c r="I49" s="258" t="s">
        <v>129</v>
      </c>
      <c r="J49" s="258" t="s">
        <v>125</v>
      </c>
      <c r="K49" s="273" t="s">
        <v>250</v>
      </c>
      <c r="L49" s="253"/>
    </row>
    <row r="50" spans="1:12" s="202" customFormat="1" ht="14.25">
      <c r="A50" s="275">
        <v>9</v>
      </c>
      <c r="B50" s="270" t="s">
        <v>145</v>
      </c>
      <c r="C50" s="315">
        <v>400000</v>
      </c>
      <c r="D50" s="321">
        <f t="shared" si="1"/>
        <v>4589.787722317842</v>
      </c>
      <c r="E50" s="326">
        <v>465919</v>
      </c>
      <c r="F50" s="257">
        <v>1</v>
      </c>
      <c r="G50" s="258" t="s">
        <v>237</v>
      </c>
      <c r="H50" s="258">
        <v>10</v>
      </c>
      <c r="I50" s="296" t="s">
        <v>146</v>
      </c>
      <c r="J50" s="258" t="s">
        <v>147</v>
      </c>
      <c r="K50" s="260" t="s">
        <v>250</v>
      </c>
      <c r="L50" s="253" t="s">
        <v>286</v>
      </c>
    </row>
    <row r="51" spans="1:12" s="202" customFormat="1" ht="14.25">
      <c r="A51" s="289">
        <v>10</v>
      </c>
      <c r="B51" s="270" t="s">
        <v>126</v>
      </c>
      <c r="C51" s="315">
        <v>1000000</v>
      </c>
      <c r="D51" s="321">
        <f t="shared" si="1"/>
        <v>11474.469305794606</v>
      </c>
      <c r="E51" s="326">
        <v>1546880</v>
      </c>
      <c r="F51" s="257">
        <v>8</v>
      </c>
      <c r="G51" s="258" t="s">
        <v>370</v>
      </c>
      <c r="H51" s="258">
        <v>5</v>
      </c>
      <c r="I51" s="270" t="s">
        <v>166</v>
      </c>
      <c r="J51" s="258" t="s">
        <v>128</v>
      </c>
      <c r="K51" s="273" t="s">
        <v>250</v>
      </c>
      <c r="L51" s="253"/>
    </row>
    <row r="52" spans="1:12" s="202" customFormat="1" ht="14.25">
      <c r="A52" s="275">
        <v>11</v>
      </c>
      <c r="B52" s="270" t="s">
        <v>167</v>
      </c>
      <c r="C52" s="315">
        <v>3170750</v>
      </c>
      <c r="D52" s="321">
        <f t="shared" si="1"/>
        <v>36382.67355134825</v>
      </c>
      <c r="E52" s="326">
        <v>3149350</v>
      </c>
      <c r="F52" s="257">
        <v>50</v>
      </c>
      <c r="G52" s="274" t="s">
        <v>259</v>
      </c>
      <c r="H52" s="258">
        <v>5</v>
      </c>
      <c r="I52" s="270" t="s">
        <v>168</v>
      </c>
      <c r="J52" s="258" t="s">
        <v>125</v>
      </c>
      <c r="K52" s="273" t="s">
        <v>250</v>
      </c>
      <c r="L52" s="253"/>
    </row>
    <row r="53" spans="1:12" s="202" customFormat="1" ht="14.25">
      <c r="A53" s="289">
        <v>12</v>
      </c>
      <c r="B53" s="270" t="s">
        <v>169</v>
      </c>
      <c r="C53" s="315">
        <v>500000</v>
      </c>
      <c r="D53" s="321">
        <f t="shared" si="1"/>
        <v>5737.234652897303</v>
      </c>
      <c r="E53" s="326">
        <v>884700</v>
      </c>
      <c r="F53" s="257">
        <v>7</v>
      </c>
      <c r="G53" s="258" t="s">
        <v>236</v>
      </c>
      <c r="H53" s="258">
        <v>5</v>
      </c>
      <c r="I53" s="270" t="s">
        <v>170</v>
      </c>
      <c r="J53" s="258" t="s">
        <v>125</v>
      </c>
      <c r="K53" s="273" t="s">
        <v>250</v>
      </c>
      <c r="L53" s="253"/>
    </row>
    <row r="54" spans="1:12" s="202" customFormat="1" ht="14.25">
      <c r="A54" s="289">
        <v>14</v>
      </c>
      <c r="B54" s="270" t="s">
        <v>205</v>
      </c>
      <c r="C54" s="315">
        <v>1000000</v>
      </c>
      <c r="D54" s="321">
        <f t="shared" si="1"/>
        <v>11474.469305794606</v>
      </c>
      <c r="E54" s="326"/>
      <c r="F54" s="257">
        <v>8</v>
      </c>
      <c r="G54" s="258" t="s">
        <v>371</v>
      </c>
      <c r="H54" s="258">
        <v>10</v>
      </c>
      <c r="I54" s="270" t="s">
        <v>206</v>
      </c>
      <c r="J54" s="258" t="s">
        <v>200</v>
      </c>
      <c r="K54" s="273"/>
      <c r="L54" s="253"/>
    </row>
    <row r="55" spans="1:12" s="202" customFormat="1" ht="14.25">
      <c r="A55" s="275">
        <v>15</v>
      </c>
      <c r="B55" s="270" t="s">
        <v>171</v>
      </c>
      <c r="C55" s="315">
        <v>1664604</v>
      </c>
      <c r="D55" s="321">
        <f t="shared" si="1"/>
        <v>19100.447504302923</v>
      </c>
      <c r="E55" s="326"/>
      <c r="F55" s="257">
        <v>8</v>
      </c>
      <c r="G55" s="258" t="s">
        <v>350</v>
      </c>
      <c r="H55" s="258">
        <v>5</v>
      </c>
      <c r="I55" s="270" t="s">
        <v>172</v>
      </c>
      <c r="J55" s="258" t="s">
        <v>125</v>
      </c>
      <c r="K55" s="273"/>
      <c r="L55" s="253"/>
    </row>
    <row r="56" spans="1:12" s="202" customFormat="1" ht="21">
      <c r="A56" s="289">
        <v>16</v>
      </c>
      <c r="B56" s="297" t="s">
        <v>173</v>
      </c>
      <c r="C56" s="315">
        <v>1000000</v>
      </c>
      <c r="D56" s="321">
        <f t="shared" si="1"/>
        <v>11474.469305794606</v>
      </c>
      <c r="E56" s="326"/>
      <c r="F56" s="257">
        <v>25</v>
      </c>
      <c r="G56" s="258" t="s">
        <v>357</v>
      </c>
      <c r="H56" s="258">
        <v>5</v>
      </c>
      <c r="I56" s="298" t="s">
        <v>372</v>
      </c>
      <c r="J56" s="258" t="s">
        <v>128</v>
      </c>
      <c r="K56" s="273"/>
      <c r="L56" s="253"/>
    </row>
    <row r="57" spans="1:12" s="202" customFormat="1" ht="14.25">
      <c r="A57" s="275">
        <v>17</v>
      </c>
      <c r="B57" s="270" t="s">
        <v>174</v>
      </c>
      <c r="C57" s="315">
        <v>1500000</v>
      </c>
      <c r="D57" s="321">
        <f t="shared" si="1"/>
        <v>17211.70395869191</v>
      </c>
      <c r="E57" s="326"/>
      <c r="F57" s="257">
        <v>8</v>
      </c>
      <c r="G57" s="258" t="s">
        <v>364</v>
      </c>
      <c r="H57" s="258">
        <v>5</v>
      </c>
      <c r="I57" s="270" t="s">
        <v>175</v>
      </c>
      <c r="J57" s="258" t="s">
        <v>125</v>
      </c>
      <c r="K57" s="273"/>
      <c r="L57" s="253"/>
    </row>
    <row r="58" spans="1:12" s="202" customFormat="1" ht="14.25">
      <c r="A58" s="275">
        <v>19</v>
      </c>
      <c r="B58" s="270" t="s">
        <v>260</v>
      </c>
      <c r="C58" s="315">
        <v>2000000</v>
      </c>
      <c r="D58" s="321">
        <f t="shared" si="1"/>
        <v>22948.938611589212</v>
      </c>
      <c r="E58" s="326"/>
      <c r="F58" s="257">
        <v>10</v>
      </c>
      <c r="G58" s="258" t="s">
        <v>293</v>
      </c>
      <c r="H58" s="258">
        <v>5</v>
      </c>
      <c r="I58" s="270" t="s">
        <v>176</v>
      </c>
      <c r="J58" s="258" t="s">
        <v>125</v>
      </c>
      <c r="K58" s="273"/>
      <c r="L58" s="253"/>
    </row>
    <row r="59" spans="1:12" s="202" customFormat="1" ht="14.25">
      <c r="A59" s="275">
        <v>20</v>
      </c>
      <c r="B59" s="270" t="s">
        <v>261</v>
      </c>
      <c r="C59" s="315">
        <v>2092645.8</v>
      </c>
      <c r="D59" s="321">
        <f t="shared" si="1"/>
        <v>24012</v>
      </c>
      <c r="E59" s="326">
        <v>2607216</v>
      </c>
      <c r="F59" s="257">
        <v>3</v>
      </c>
      <c r="G59" s="258" t="s">
        <v>262</v>
      </c>
      <c r="H59" s="258">
        <v>10</v>
      </c>
      <c r="I59" s="270" t="s">
        <v>263</v>
      </c>
      <c r="J59" s="258" t="s">
        <v>264</v>
      </c>
      <c r="K59" s="273" t="s">
        <v>250</v>
      </c>
      <c r="L59" s="253"/>
    </row>
    <row r="60" spans="1:12" s="202" customFormat="1" ht="14.25">
      <c r="A60" s="275">
        <v>21</v>
      </c>
      <c r="B60" s="270" t="s">
        <v>294</v>
      </c>
      <c r="C60" s="315">
        <v>500000</v>
      </c>
      <c r="D60" s="321">
        <f t="shared" si="1"/>
        <v>5737.234652897303</v>
      </c>
      <c r="E60" s="326">
        <v>198292</v>
      </c>
      <c r="F60" s="257">
        <v>2</v>
      </c>
      <c r="G60" s="258" t="s">
        <v>295</v>
      </c>
      <c r="H60" s="258">
        <v>4</v>
      </c>
      <c r="I60" s="270" t="s">
        <v>296</v>
      </c>
      <c r="J60" s="258" t="s">
        <v>297</v>
      </c>
      <c r="K60" s="273" t="s">
        <v>250</v>
      </c>
      <c r="L60" s="253"/>
    </row>
    <row r="61" spans="1:12" s="202" customFormat="1" ht="14.25">
      <c r="A61" s="275">
        <v>22</v>
      </c>
      <c r="B61" s="299" t="s">
        <v>373</v>
      </c>
      <c r="C61" s="315">
        <v>1200000</v>
      </c>
      <c r="D61" s="321">
        <f t="shared" si="1"/>
        <v>13769.363166953528</v>
      </c>
      <c r="E61" s="326"/>
      <c r="F61" s="257">
        <v>8</v>
      </c>
      <c r="G61" s="258" t="s">
        <v>359</v>
      </c>
      <c r="H61" s="258">
        <v>3</v>
      </c>
      <c r="I61" s="270" t="s">
        <v>374</v>
      </c>
      <c r="J61" s="258" t="s">
        <v>360</v>
      </c>
      <c r="K61" s="273"/>
      <c r="L61" s="253"/>
    </row>
    <row r="62" spans="1:12" s="202" customFormat="1" ht="14.25">
      <c r="A62" s="275">
        <v>23</v>
      </c>
      <c r="B62" s="299" t="s">
        <v>375</v>
      </c>
      <c r="C62" s="315">
        <v>1000000</v>
      </c>
      <c r="D62" s="321">
        <f t="shared" si="1"/>
        <v>11474.469305794606</v>
      </c>
      <c r="E62" s="326"/>
      <c r="F62" s="257">
        <v>10</v>
      </c>
      <c r="G62" s="258" t="s">
        <v>359</v>
      </c>
      <c r="H62" s="258">
        <v>5</v>
      </c>
      <c r="I62" s="270" t="s">
        <v>376</v>
      </c>
      <c r="J62" s="258" t="s">
        <v>377</v>
      </c>
      <c r="K62" s="273"/>
      <c r="L62" s="253"/>
    </row>
    <row r="63" spans="1:12" s="202" customFormat="1" ht="14.25">
      <c r="A63" s="275">
        <v>24</v>
      </c>
      <c r="B63" s="299" t="s">
        <v>378</v>
      </c>
      <c r="C63" s="315">
        <v>1500000</v>
      </c>
      <c r="D63" s="321">
        <f t="shared" si="1"/>
        <v>17211.70395869191</v>
      </c>
      <c r="E63" s="326"/>
      <c r="F63" s="257">
        <v>15</v>
      </c>
      <c r="G63" s="258" t="s">
        <v>379</v>
      </c>
      <c r="H63" s="258">
        <v>5</v>
      </c>
      <c r="I63" s="270" t="s">
        <v>380</v>
      </c>
      <c r="J63" s="258" t="s">
        <v>381</v>
      </c>
      <c r="K63" s="273"/>
      <c r="L63" s="253"/>
    </row>
    <row r="64" spans="1:12" s="202" customFormat="1" ht="14.25">
      <c r="A64" s="275">
        <v>25</v>
      </c>
      <c r="B64" s="299" t="s">
        <v>382</v>
      </c>
      <c r="C64" s="315">
        <v>2000000</v>
      </c>
      <c r="D64" s="321">
        <f t="shared" si="1"/>
        <v>22948.938611589212</v>
      </c>
      <c r="E64" s="326"/>
      <c r="F64" s="257">
        <v>11</v>
      </c>
      <c r="G64" s="258" t="s">
        <v>383</v>
      </c>
      <c r="H64" s="258">
        <v>5</v>
      </c>
      <c r="I64" s="270" t="s">
        <v>384</v>
      </c>
      <c r="J64" s="258" t="s">
        <v>377</v>
      </c>
      <c r="K64" s="273"/>
      <c r="L64" s="253"/>
    </row>
    <row r="65" spans="1:12" s="202" customFormat="1" ht="14.25">
      <c r="A65" s="275">
        <v>27</v>
      </c>
      <c r="B65" s="299" t="s">
        <v>385</v>
      </c>
      <c r="C65" s="315">
        <v>2400000</v>
      </c>
      <c r="D65" s="321">
        <f t="shared" si="1"/>
        <v>27538.726333907056</v>
      </c>
      <c r="E65" s="326"/>
      <c r="F65" s="257">
        <v>24</v>
      </c>
      <c r="G65" s="258" t="s">
        <v>386</v>
      </c>
      <c r="H65" s="258">
        <v>5</v>
      </c>
      <c r="I65" s="270" t="s">
        <v>387</v>
      </c>
      <c r="J65" s="258" t="s">
        <v>381</v>
      </c>
      <c r="K65" s="273"/>
      <c r="L65" s="253"/>
    </row>
    <row r="66" spans="1:12" s="202" customFormat="1" ht="14.25">
      <c r="A66" s="275">
        <v>28</v>
      </c>
      <c r="B66" s="299" t="s">
        <v>388</v>
      </c>
      <c r="C66" s="315">
        <v>1500000</v>
      </c>
      <c r="D66" s="321">
        <f t="shared" si="1"/>
        <v>17211.70395869191</v>
      </c>
      <c r="E66" s="326"/>
      <c r="F66" s="257">
        <v>10</v>
      </c>
      <c r="G66" s="258" t="s">
        <v>389</v>
      </c>
      <c r="H66" s="258">
        <v>5</v>
      </c>
      <c r="I66" s="270" t="s">
        <v>390</v>
      </c>
      <c r="J66" s="258" t="s">
        <v>391</v>
      </c>
      <c r="K66" s="273"/>
      <c r="L66" s="253"/>
    </row>
    <row r="67" spans="1:12" s="202" customFormat="1" ht="14.25">
      <c r="A67" s="275">
        <v>29</v>
      </c>
      <c r="B67" s="299" t="s">
        <v>392</v>
      </c>
      <c r="C67" s="315">
        <v>1700000</v>
      </c>
      <c r="D67" s="321">
        <f t="shared" si="1"/>
        <v>19506.59781985083</v>
      </c>
      <c r="E67" s="326"/>
      <c r="F67" s="257">
        <v>17</v>
      </c>
      <c r="G67" s="258" t="s">
        <v>393</v>
      </c>
      <c r="H67" s="258">
        <v>5</v>
      </c>
      <c r="I67" s="270" t="s">
        <v>394</v>
      </c>
      <c r="J67" s="258" t="s">
        <v>391</v>
      </c>
      <c r="K67" s="273"/>
      <c r="L67" s="253"/>
    </row>
    <row r="68" spans="1:12" ht="14.25">
      <c r="A68" s="270"/>
      <c r="B68" s="300" t="s">
        <v>177</v>
      </c>
      <c r="C68" s="323">
        <v>0</v>
      </c>
      <c r="D68" s="321">
        <v>0</v>
      </c>
      <c r="E68" s="332">
        <v>0</v>
      </c>
      <c r="F68" s="301"/>
      <c r="G68" s="302"/>
      <c r="H68" s="258"/>
      <c r="I68" s="303"/>
      <c r="J68" s="258"/>
      <c r="K68" s="273"/>
      <c r="L68" s="253"/>
    </row>
    <row r="69" spans="1:12" ht="14.25">
      <c r="A69" s="270">
        <v>1</v>
      </c>
      <c r="B69" s="270" t="s">
        <v>180</v>
      </c>
      <c r="C69" s="315">
        <v>1000000</v>
      </c>
      <c r="D69" s="321">
        <f t="shared" si="1"/>
        <v>11474.469305794606</v>
      </c>
      <c r="E69" s="326">
        <v>1598900</v>
      </c>
      <c r="F69" s="257">
        <v>40</v>
      </c>
      <c r="G69" s="281" t="s">
        <v>181</v>
      </c>
      <c r="H69" s="258">
        <v>5</v>
      </c>
      <c r="I69" s="270" t="s">
        <v>182</v>
      </c>
      <c r="J69" s="258" t="s">
        <v>183</v>
      </c>
      <c r="K69" s="273" t="s">
        <v>250</v>
      </c>
      <c r="L69" s="253" t="s">
        <v>395</v>
      </c>
    </row>
    <row r="70" spans="1:12" ht="14.25">
      <c r="A70" s="270"/>
      <c r="B70" s="270"/>
      <c r="C70" s="304">
        <f>SUM(C43:C69)</f>
        <v>36627999.8</v>
      </c>
      <c r="D70" s="215">
        <f>SUM(D43:D69)</f>
        <v>420286.859437751</v>
      </c>
      <c r="E70" s="305">
        <f>SUM(E43:E69)/87.15</f>
        <v>180686.94205393</v>
      </c>
      <c r="F70" s="257"/>
      <c r="G70" s="258"/>
      <c r="H70" s="258"/>
      <c r="I70" s="270"/>
      <c r="J70" s="258"/>
      <c r="K70" s="273"/>
      <c r="L70" s="253"/>
    </row>
    <row r="71" spans="4:12" ht="14.25">
      <c r="D71" s="216"/>
      <c r="L71" s="309"/>
    </row>
    <row r="72" spans="2:14" ht="14.25">
      <c r="B72" s="166" t="s">
        <v>396</v>
      </c>
      <c r="C72" s="218" t="s">
        <v>124</v>
      </c>
      <c r="D72" s="218">
        <v>700000</v>
      </c>
      <c r="L72" s="309"/>
      <c r="N72" s="218"/>
    </row>
    <row r="73" spans="2:12" ht="14.25">
      <c r="B73" s="311" t="s">
        <v>184</v>
      </c>
      <c r="C73" s="312"/>
      <c r="D73" s="312">
        <f>E70+E37</f>
        <v>315744.47504302923</v>
      </c>
      <c r="L73" s="309"/>
    </row>
    <row r="74" spans="2:12" ht="14.25">
      <c r="B74" s="166" t="s">
        <v>298</v>
      </c>
      <c r="C74" s="218" t="s">
        <v>124</v>
      </c>
      <c r="D74" s="218">
        <f>D72-D73</f>
        <v>384255.52495697077</v>
      </c>
      <c r="L74" s="309"/>
    </row>
  </sheetData>
  <sheetProtection/>
  <printOptions horizontalCentered="1"/>
  <pageMargins left="0.5" right="0.5" top="1.5" bottom="1" header="0.7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1.28125" style="0" customWidth="1"/>
    <col min="2" max="2" width="15.00390625" style="0" customWidth="1"/>
    <col min="3" max="3" width="19.7109375" style="0" customWidth="1"/>
    <col min="4" max="4" width="20.8515625" style="0" customWidth="1"/>
    <col min="5" max="5" width="25.140625" style="0" customWidth="1"/>
    <col min="6" max="6" width="23.7109375" style="0" customWidth="1"/>
    <col min="7" max="7" width="15.00390625" style="0" bestFit="1" customWidth="1"/>
    <col min="8" max="8" width="14.00390625" style="0" bestFit="1" customWidth="1"/>
    <col min="9" max="9" width="11.421875" style="0" bestFit="1" customWidth="1"/>
  </cols>
  <sheetData>
    <row r="2" ht="12.75">
      <c r="A2" s="17" t="s">
        <v>231</v>
      </c>
    </row>
    <row r="3" spans="1:6" ht="12.75">
      <c r="A3" s="8"/>
      <c r="B3" s="449" t="s">
        <v>317</v>
      </c>
      <c r="C3" s="450"/>
      <c r="D3" s="20" t="s">
        <v>318</v>
      </c>
      <c r="E3" s="20" t="s">
        <v>309</v>
      </c>
      <c r="F3" s="185" t="s">
        <v>310</v>
      </c>
    </row>
    <row r="4" spans="1:6" ht="12.75">
      <c r="A4" s="8"/>
      <c r="B4" s="20" t="s">
        <v>47</v>
      </c>
      <c r="C4" s="20" t="s">
        <v>301</v>
      </c>
      <c r="D4" s="17" t="s">
        <v>232</v>
      </c>
      <c r="E4" s="17" t="s">
        <v>302</v>
      </c>
      <c r="F4" s="185" t="s">
        <v>418</v>
      </c>
    </row>
    <row r="5" spans="1:6" ht="12.75">
      <c r="A5" s="8" t="s">
        <v>37</v>
      </c>
      <c r="B5" s="189">
        <f>Works!D65</f>
        <v>74203900</v>
      </c>
      <c r="C5" s="190">
        <f>B5*0.91</f>
        <v>67525549</v>
      </c>
      <c r="D5" s="189">
        <f aca="true" t="shared" si="0" ref="D5:D12">B5-C5</f>
        <v>6678351</v>
      </c>
      <c r="E5" s="189"/>
      <c r="F5" s="186">
        <f>Works!D66</f>
        <v>33212981.22241379</v>
      </c>
    </row>
    <row r="6" spans="1:9" ht="12.75">
      <c r="A6" s="8" t="s">
        <v>39</v>
      </c>
      <c r="B6" s="189">
        <f>'Consultancy '!D64</f>
        <v>12275000</v>
      </c>
      <c r="C6" s="190">
        <f>B6*0.91</f>
        <v>11170250</v>
      </c>
      <c r="D6" s="189">
        <f t="shared" si="0"/>
        <v>1104750</v>
      </c>
      <c r="E6" s="189"/>
      <c r="F6" s="186">
        <f>'Consultancy '!D65</f>
        <v>10513772.279678736</v>
      </c>
      <c r="H6" s="45"/>
      <c r="I6" s="16"/>
    </row>
    <row r="7" spans="1:9" ht="12.75">
      <c r="A7" s="8" t="s">
        <v>38</v>
      </c>
      <c r="B7" s="191">
        <f>Goods!D50</f>
        <v>9222000</v>
      </c>
      <c r="C7" s="190">
        <f>0.91*B7</f>
        <v>8392020</v>
      </c>
      <c r="D7" s="189">
        <f t="shared" si="0"/>
        <v>829980</v>
      </c>
      <c r="E7" s="189"/>
      <c r="F7" s="186">
        <f>Goods!D51</f>
        <v>9652867.223333333</v>
      </c>
      <c r="I7" s="16"/>
    </row>
    <row r="8" spans="1:8" ht="12.75">
      <c r="A8" s="8" t="s">
        <v>40</v>
      </c>
      <c r="B8" s="189">
        <f>Training!D72</f>
        <v>700000</v>
      </c>
      <c r="C8" s="190">
        <f>B8</f>
        <v>700000</v>
      </c>
      <c r="D8" s="189">
        <f t="shared" si="0"/>
        <v>0</v>
      </c>
      <c r="E8" s="189"/>
      <c r="F8" s="186">
        <f>Training!D73</f>
        <v>315744.47504302923</v>
      </c>
      <c r="G8" s="16"/>
      <c r="H8" s="45"/>
    </row>
    <row r="9" spans="1:8" ht="12.75">
      <c r="A9" s="8" t="s">
        <v>45</v>
      </c>
      <c r="B9" s="192">
        <v>0</v>
      </c>
      <c r="C9" s="190">
        <v>0</v>
      </c>
      <c r="D9" s="189">
        <f t="shared" si="0"/>
        <v>0</v>
      </c>
      <c r="E9" s="189"/>
      <c r="F9" s="186">
        <v>0</v>
      </c>
      <c r="G9" s="45"/>
      <c r="H9" s="45"/>
    </row>
    <row r="10" spans="1:6" ht="12.75">
      <c r="A10" s="8" t="s">
        <v>41</v>
      </c>
      <c r="B10" s="189">
        <v>1500000</v>
      </c>
      <c r="C10" s="193">
        <v>0</v>
      </c>
      <c r="D10" s="189">
        <f t="shared" si="0"/>
        <v>1500000</v>
      </c>
      <c r="E10" s="189"/>
      <c r="F10" s="186">
        <v>0</v>
      </c>
    </row>
    <row r="11" spans="1:6" s="18" customFormat="1" ht="12.75">
      <c r="A11" s="181" t="s">
        <v>86</v>
      </c>
      <c r="B11" s="192">
        <v>1000000</v>
      </c>
      <c r="C11" s="194">
        <f>B11</f>
        <v>1000000</v>
      </c>
      <c r="D11" s="192">
        <f t="shared" si="0"/>
        <v>0</v>
      </c>
      <c r="E11" s="192"/>
      <c r="F11" s="187"/>
    </row>
    <row r="12" spans="1:6" ht="12.75">
      <c r="A12" s="58" t="s">
        <v>87</v>
      </c>
      <c r="B12" s="189">
        <v>400000</v>
      </c>
      <c r="C12" s="193">
        <f>B12</f>
        <v>400000</v>
      </c>
      <c r="D12" s="189">
        <f t="shared" si="0"/>
        <v>0</v>
      </c>
      <c r="E12" s="189"/>
      <c r="F12" s="186"/>
    </row>
    <row r="13" spans="1:6" s="182" customFormat="1" ht="12.75">
      <c r="A13" s="181" t="s">
        <v>267</v>
      </c>
      <c r="B13" s="195">
        <f>-(Works!D45+Works!D45+Works!D43+Works!D41+Works!D39+Works!D35+Works!D33+Works!D32+Works!D29+'Consultancy '!D39+'Consultancy '!D42+'Consultancy '!D42+'Consultancy '!D44+'Consultancy '!D58+Goods!D25+Goods!D27+Goods!D29+Goods!D31+Goods!D32+Goods!D34+Goods!D36)</f>
        <v>-14007407.57</v>
      </c>
      <c r="C13" s="196">
        <f>B13</f>
        <v>-14007407.57</v>
      </c>
      <c r="D13" s="197">
        <v>0</v>
      </c>
      <c r="E13" s="195"/>
      <c r="F13" s="187"/>
    </row>
    <row r="14" spans="1:8" s="17" customFormat="1" ht="12.75">
      <c r="A14" s="20" t="s">
        <v>311</v>
      </c>
      <c r="B14" s="198">
        <f>SUM(B5:B12)+B13</f>
        <v>85293492.43</v>
      </c>
      <c r="C14" s="199">
        <f>SUM(C5:C12)+C13</f>
        <v>75180411.43</v>
      </c>
      <c r="D14" s="199">
        <f>SUM(D5:D10)</f>
        <v>10113081</v>
      </c>
      <c r="E14" s="198">
        <f>E15+E16</f>
        <v>72594051.2</v>
      </c>
      <c r="F14" s="188">
        <f>SUM(F5:F13)</f>
        <v>53695365.20046888</v>
      </c>
      <c r="G14" s="219">
        <f>100*F14/E14</f>
        <v>73.96661890729261</v>
      </c>
      <c r="H14" s="336" t="s">
        <v>419</v>
      </c>
    </row>
    <row r="15" spans="1:7" s="17" customFormat="1" ht="12.75">
      <c r="A15" s="227" t="s">
        <v>313</v>
      </c>
      <c r="B15" s="228"/>
      <c r="C15" s="229"/>
      <c r="D15" s="198"/>
      <c r="E15" s="198">
        <v>58166363.2</v>
      </c>
      <c r="F15" s="188"/>
      <c r="G15" s="179"/>
    </row>
    <row r="16" spans="1:7" s="17" customFormat="1" ht="12.75">
      <c r="A16" s="230" t="s">
        <v>312</v>
      </c>
      <c r="B16" s="231"/>
      <c r="C16" s="231"/>
      <c r="D16" s="198"/>
      <c r="E16" s="198">
        <v>14427688</v>
      </c>
      <c r="F16" s="188"/>
      <c r="G16" s="179"/>
    </row>
    <row r="17" spans="1:7" s="17" customFormat="1" ht="12.75">
      <c r="A17" s="227" t="s">
        <v>315</v>
      </c>
      <c r="B17" s="231"/>
      <c r="C17" s="231"/>
      <c r="D17" s="198"/>
      <c r="E17" s="198">
        <v>52878512</v>
      </c>
      <c r="F17" s="188"/>
      <c r="G17" s="179"/>
    </row>
    <row r="18" spans="1:7" ht="12.75">
      <c r="A18" s="230" t="s">
        <v>316</v>
      </c>
      <c r="B18" s="226"/>
      <c r="C18" s="226"/>
      <c r="D18" s="200"/>
      <c r="E18" s="198">
        <v>13116080</v>
      </c>
      <c r="F18" s="186"/>
      <c r="G18" s="45"/>
    </row>
    <row r="19" spans="1:7" s="17" customFormat="1" ht="12.75">
      <c r="A19" s="17" t="s">
        <v>314</v>
      </c>
      <c r="B19" s="201"/>
      <c r="C19" s="201"/>
      <c r="D19" s="198"/>
      <c r="E19" s="198">
        <v>6599459</v>
      </c>
      <c r="F19" s="188"/>
      <c r="G19" s="179"/>
    </row>
    <row r="20" spans="1:7" s="17" customFormat="1" ht="12.75">
      <c r="A20" s="17" t="s">
        <v>42</v>
      </c>
      <c r="B20" s="201"/>
      <c r="C20" s="201"/>
      <c r="D20" s="198"/>
      <c r="E20" s="198">
        <v>72594051</v>
      </c>
      <c r="F20" s="188"/>
      <c r="G20" s="180"/>
    </row>
    <row r="21" spans="2:7" s="17" customFormat="1" ht="12.75">
      <c r="B21" s="201"/>
      <c r="C21" s="201"/>
      <c r="D21" s="221"/>
      <c r="E21" s="221"/>
      <c r="F21" s="222"/>
      <c r="G21" s="180"/>
    </row>
    <row r="22" spans="2:12" ht="12.75">
      <c r="B22" s="46"/>
      <c r="C22" s="46"/>
      <c r="D22" s="224"/>
      <c r="E22" s="225"/>
      <c r="F22" s="17" t="s">
        <v>306</v>
      </c>
      <c r="G22" s="17" t="s">
        <v>124</v>
      </c>
      <c r="H22" t="s">
        <v>124</v>
      </c>
      <c r="L22" s="3"/>
    </row>
    <row r="23" spans="1:8" ht="12.75">
      <c r="A23" s="10"/>
      <c r="B23" s="4"/>
      <c r="C23" s="4"/>
      <c r="E23" s="17" t="s">
        <v>304</v>
      </c>
      <c r="F23" s="179">
        <v>38300000</v>
      </c>
      <c r="G23" s="179">
        <f>F23*1.38064</f>
        <v>52878512</v>
      </c>
      <c r="H23" s="16">
        <f>1.1*G23</f>
        <v>58166363.2</v>
      </c>
    </row>
    <row r="24" spans="1:8" ht="12.75">
      <c r="A24" s="19" t="s">
        <v>46</v>
      </c>
      <c r="B24" s="4"/>
      <c r="C24" s="4"/>
      <c r="E24" s="17" t="s">
        <v>305</v>
      </c>
      <c r="F24" s="179">
        <v>9500000</v>
      </c>
      <c r="G24" s="179">
        <f>F24*1.38064</f>
        <v>13116080</v>
      </c>
      <c r="H24" s="16">
        <f>1.1*G24</f>
        <v>14427688.000000002</v>
      </c>
    </row>
    <row r="25" spans="1:8" ht="12.75">
      <c r="A25" s="56" t="s">
        <v>72</v>
      </c>
      <c r="B25" s="4"/>
      <c r="C25" s="4"/>
      <c r="E25" s="17" t="s">
        <v>44</v>
      </c>
      <c r="F25" s="179">
        <f>0.1*(F23+F24)</f>
        <v>4780000</v>
      </c>
      <c r="G25" s="179">
        <f>F25*1.38064</f>
        <v>6599459.2</v>
      </c>
      <c r="H25" s="16"/>
    </row>
    <row r="26" spans="1:8" ht="12.75">
      <c r="A26" s="56" t="s">
        <v>71</v>
      </c>
      <c r="B26" s="4"/>
      <c r="C26" s="4"/>
      <c r="E26" s="17" t="s">
        <v>307</v>
      </c>
      <c r="F26" s="180">
        <f>F23+F24+F25</f>
        <v>52580000</v>
      </c>
      <c r="G26" s="180">
        <f>G23+G24+G25</f>
        <v>72594051.2</v>
      </c>
      <c r="H26" s="180">
        <f>H23+H24</f>
        <v>72594051.2</v>
      </c>
    </row>
    <row r="27" spans="1:3" ht="12.75">
      <c r="A27" s="47" t="s">
        <v>55</v>
      </c>
      <c r="B27" s="4"/>
      <c r="C27" s="4"/>
    </row>
    <row r="28" spans="1:7" ht="12.75">
      <c r="A28" s="203" t="s">
        <v>276</v>
      </c>
      <c r="B28" s="4"/>
      <c r="C28" s="223" t="s">
        <v>308</v>
      </c>
      <c r="E28" s="204"/>
      <c r="G28" s="45"/>
    </row>
    <row r="29" spans="1:6" ht="12.75">
      <c r="A29" s="203" t="s">
        <v>303</v>
      </c>
      <c r="B29" s="4"/>
      <c r="F29" s="45"/>
    </row>
    <row r="30" spans="2:6" ht="12.75">
      <c r="B30" s="4"/>
      <c r="C30" s="4"/>
      <c r="F30" s="45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1:3" ht="12.75">
      <c r="A43" s="10"/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ht="12.75">
      <c r="B47" s="4"/>
    </row>
    <row r="48" ht="12.75">
      <c r="A48" s="10"/>
    </row>
    <row r="49" spans="1:3" ht="12.75">
      <c r="A49" s="10"/>
      <c r="B49" s="4"/>
      <c r="C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7" spans="1:2" ht="12.75">
      <c r="A57" s="10"/>
      <c r="B57" s="4"/>
    </row>
    <row r="58" spans="1:2" ht="12.75">
      <c r="A58" s="10"/>
      <c r="B58" s="4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68"/>
  <sheetViews>
    <sheetView zoomScalePageLayoutView="0" workbookViewId="0" topLeftCell="A5">
      <pane xSplit="1" ySplit="4" topLeftCell="B9" activePane="bottomRight" state="frozen"/>
      <selection pane="topLeft" activeCell="A5" sqref="A5"/>
      <selection pane="topRight" activeCell="B5" sqref="B5"/>
      <selection pane="bottomLeft" activeCell="A9" sqref="A9"/>
      <selection pane="bottomRight" activeCell="J23" sqref="J23"/>
    </sheetView>
  </sheetViews>
  <sheetFormatPr defaultColWidth="9.140625" defaultRowHeight="12.75"/>
  <cols>
    <col min="1" max="1" width="14.7109375" style="0" customWidth="1"/>
    <col min="6" max="6" width="13.140625" style="232" bestFit="1" customWidth="1"/>
    <col min="9" max="10" width="13.140625" style="0" bestFit="1" customWidth="1"/>
    <col min="11" max="11" width="11.421875" style="0" bestFit="1" customWidth="1"/>
    <col min="18" max="18" width="10.28125" style="0" bestFit="1" customWidth="1"/>
  </cols>
  <sheetData>
    <row r="2" spans="1:21" ht="12.75">
      <c r="A2" s="61"/>
      <c r="B2" s="62"/>
      <c r="C2" s="400" t="s">
        <v>35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83"/>
    </row>
    <row r="3" spans="1:21" ht="12.75">
      <c r="A3" s="61"/>
      <c r="B3" s="142"/>
      <c r="C3" s="400" t="s">
        <v>65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83"/>
    </row>
    <row r="4" spans="1:21" ht="12.75">
      <c r="A4" s="61"/>
      <c r="B4" s="142"/>
      <c r="C4" s="400" t="s">
        <v>63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83"/>
    </row>
    <row r="5" ht="12.75">
      <c r="A5" s="17" t="s">
        <v>402</v>
      </c>
    </row>
    <row r="6" spans="6:7" ht="12.75">
      <c r="F6" s="233" t="s">
        <v>124</v>
      </c>
      <c r="G6" s="56" t="s">
        <v>330</v>
      </c>
    </row>
    <row r="7" spans="1:9" ht="12.75">
      <c r="A7" s="17" t="s">
        <v>399</v>
      </c>
      <c r="I7" s="56" t="s">
        <v>341</v>
      </c>
    </row>
    <row r="8" spans="1:11" ht="12.75">
      <c r="A8" s="17"/>
      <c r="I8" s="238" t="s">
        <v>339</v>
      </c>
      <c r="J8" s="238" t="s">
        <v>340</v>
      </c>
      <c r="K8" s="56" t="s">
        <v>307</v>
      </c>
    </row>
    <row r="9" spans="1:7" s="17" customFormat="1" ht="12.75">
      <c r="A9" s="17" t="s">
        <v>319</v>
      </c>
      <c r="F9" s="17">
        <v>1360327</v>
      </c>
      <c r="G9" s="17" t="s">
        <v>184</v>
      </c>
    </row>
    <row r="10" spans="1:15" ht="12.75">
      <c r="A10" s="333" t="s">
        <v>320</v>
      </c>
      <c r="B10" s="333"/>
      <c r="C10" s="333"/>
      <c r="D10" s="333"/>
      <c r="E10" s="333"/>
      <c r="F10" s="348">
        <f>1200000-450000-150000</f>
        <v>600000</v>
      </c>
      <c r="G10" s="333" t="s">
        <v>4</v>
      </c>
      <c r="I10">
        <v>10</v>
      </c>
      <c r="J10">
        <v>6</v>
      </c>
      <c r="K10">
        <v>16</v>
      </c>
      <c r="O10" t="s">
        <v>429</v>
      </c>
    </row>
    <row r="11" spans="1:11" s="17" customFormat="1" ht="12.75">
      <c r="A11" s="17" t="s">
        <v>322</v>
      </c>
      <c r="F11" s="17">
        <v>1991875</v>
      </c>
      <c r="G11" s="17" t="s">
        <v>184</v>
      </c>
      <c r="I11" s="17">
        <f>10/16</f>
        <v>0.625</v>
      </c>
      <c r="J11" s="17">
        <f>6/16</f>
        <v>0.375</v>
      </c>
      <c r="K11" s="17">
        <v>1</v>
      </c>
    </row>
    <row r="12" spans="1:12" ht="12.75">
      <c r="A12" s="56" t="s">
        <v>321</v>
      </c>
      <c r="F12" s="235">
        <v>813554</v>
      </c>
      <c r="G12" s="146" t="s">
        <v>184</v>
      </c>
      <c r="I12" s="236">
        <f>I11*Summary!E16</f>
        <v>9017305</v>
      </c>
      <c r="J12" s="236">
        <f>J11*Summary!E16</f>
        <v>5410383</v>
      </c>
      <c r="K12" s="237">
        <f>I12+J12</f>
        <v>14427688</v>
      </c>
      <c r="L12" s="56" t="s">
        <v>342</v>
      </c>
    </row>
    <row r="13" spans="1:12" s="17" customFormat="1" ht="12.75">
      <c r="A13" s="17" t="s">
        <v>323</v>
      </c>
      <c r="F13" s="234">
        <f>SUM(F9:F12)</f>
        <v>4765756</v>
      </c>
      <c r="L13" s="17" t="s">
        <v>343</v>
      </c>
    </row>
    <row r="15" spans="1:6" ht="12.75">
      <c r="A15" t="s">
        <v>400</v>
      </c>
      <c r="F15"/>
    </row>
    <row r="16" spans="1:7" ht="12.75">
      <c r="A16" t="s">
        <v>324</v>
      </c>
      <c r="F16">
        <v>600000</v>
      </c>
      <c r="G16" t="s">
        <v>4</v>
      </c>
    </row>
    <row r="17" spans="1:7" ht="12.75">
      <c r="A17" t="s">
        <v>325</v>
      </c>
      <c r="F17">
        <f>716010/2</f>
        <v>358005</v>
      </c>
      <c r="G17" t="s">
        <v>184</v>
      </c>
    </row>
    <row r="18" spans="1:7" ht="12.75">
      <c r="A18" t="s">
        <v>326</v>
      </c>
      <c r="F18">
        <v>1345085</v>
      </c>
      <c r="G18" t="s">
        <v>184</v>
      </c>
    </row>
    <row r="19" spans="1:7" ht="12.75">
      <c r="A19" t="s">
        <v>327</v>
      </c>
      <c r="F19">
        <v>300000</v>
      </c>
      <c r="G19" t="s">
        <v>4</v>
      </c>
    </row>
    <row r="20" spans="1:7" ht="12.75">
      <c r="A20" t="s">
        <v>328</v>
      </c>
      <c r="F20">
        <f>393836/3</f>
        <v>131278.66666666666</v>
      </c>
      <c r="G20" t="s">
        <v>184</v>
      </c>
    </row>
    <row r="21" spans="1:7" ht="12.75">
      <c r="A21" s="333" t="s">
        <v>420</v>
      </c>
      <c r="B21" s="333"/>
      <c r="C21" s="333"/>
      <c r="D21" s="333"/>
      <c r="E21" s="333"/>
      <c r="F21" s="333">
        <v>450000</v>
      </c>
      <c r="G21" s="333" t="s">
        <v>4</v>
      </c>
    </row>
    <row r="22" spans="1:6" s="17" customFormat="1" ht="12.75">
      <c r="A22" s="17" t="s">
        <v>329</v>
      </c>
      <c r="F22" s="234">
        <f>SUM(F16:F21)</f>
        <v>3184368.6666666665</v>
      </c>
    </row>
    <row r="24" ht="12.75">
      <c r="A24" s="17" t="s">
        <v>401</v>
      </c>
    </row>
    <row r="25" spans="1:7" ht="12.75">
      <c r="A25" s="56" t="s">
        <v>331</v>
      </c>
      <c r="F25" s="235">
        <v>290436</v>
      </c>
      <c r="G25" s="146" t="s">
        <v>184</v>
      </c>
    </row>
    <row r="26" spans="1:7" ht="12.75">
      <c r="A26" s="56" t="s">
        <v>332</v>
      </c>
      <c r="F26" s="235">
        <v>360891</v>
      </c>
      <c r="G26" s="146" t="s">
        <v>184</v>
      </c>
    </row>
    <row r="27" spans="1:7" ht="12.75">
      <c r="A27" s="56" t="s">
        <v>333</v>
      </c>
      <c r="F27" s="235">
        <v>260720</v>
      </c>
      <c r="G27" s="146" t="s">
        <v>184</v>
      </c>
    </row>
    <row r="28" spans="1:6" s="17" customFormat="1" ht="12.75">
      <c r="A28" s="17" t="s">
        <v>334</v>
      </c>
      <c r="F28" s="234">
        <f>SUM(F25:F27)</f>
        <v>912047</v>
      </c>
    </row>
    <row r="30" spans="1:6" s="17" customFormat="1" ht="12.75">
      <c r="A30" s="17" t="s">
        <v>335</v>
      </c>
      <c r="F30" s="234">
        <f>F28+F22+F13</f>
        <v>8862171.666666666</v>
      </c>
    </row>
    <row r="32" spans="1:6" ht="12.75">
      <c r="A32" s="17" t="s">
        <v>336</v>
      </c>
      <c r="F32" s="232">
        <f>I12</f>
        <v>9017305</v>
      </c>
    </row>
    <row r="33" spans="1:6" ht="12.75">
      <c r="A33" s="56" t="s">
        <v>337</v>
      </c>
      <c r="F33" s="232">
        <f>F30</f>
        <v>8862171.666666666</v>
      </c>
    </row>
    <row r="34" spans="1:6" ht="12.75">
      <c r="A34" s="17" t="s">
        <v>338</v>
      </c>
      <c r="F34" s="234">
        <f>F32-F33</f>
        <v>155133.33333333395</v>
      </c>
    </row>
    <row r="37" ht="12.75">
      <c r="A37" s="17" t="s">
        <v>403</v>
      </c>
    </row>
    <row r="38" spans="6:7" ht="12.75">
      <c r="F38" s="233" t="s">
        <v>124</v>
      </c>
      <c r="G38" s="56" t="s">
        <v>330</v>
      </c>
    </row>
    <row r="39" ht="12.75">
      <c r="A39" s="17" t="s">
        <v>399</v>
      </c>
    </row>
    <row r="40" spans="1:7" ht="12.75">
      <c r="A40" s="56" t="s">
        <v>404</v>
      </c>
      <c r="F40" s="235">
        <v>2114903</v>
      </c>
      <c r="G40" s="146" t="s">
        <v>184</v>
      </c>
    </row>
    <row r="41" spans="1:7" s="18" customFormat="1" ht="12.75">
      <c r="A41" s="182" t="s">
        <v>405</v>
      </c>
      <c r="F41" s="334">
        <v>841428</v>
      </c>
      <c r="G41" s="146" t="s">
        <v>184</v>
      </c>
    </row>
    <row r="42" spans="1:7" s="18" customFormat="1" ht="12.75">
      <c r="A42" s="182" t="s">
        <v>406</v>
      </c>
      <c r="F42" s="335">
        <v>1000000</v>
      </c>
      <c r="G42" s="182" t="s">
        <v>4</v>
      </c>
    </row>
    <row r="43" spans="1:7" ht="12.75">
      <c r="A43" s="182" t="s">
        <v>407</v>
      </c>
      <c r="B43" s="18"/>
      <c r="C43" s="18"/>
      <c r="D43" s="18"/>
      <c r="E43" s="18"/>
      <c r="F43" s="335">
        <v>1000000</v>
      </c>
      <c r="G43" s="182" t="s">
        <v>4</v>
      </c>
    </row>
    <row r="44" spans="1:7" s="18" customFormat="1" ht="12.75">
      <c r="A44" s="182" t="s">
        <v>408</v>
      </c>
      <c r="F44" s="335">
        <v>1000000</v>
      </c>
      <c r="G44" s="182" t="s">
        <v>4</v>
      </c>
    </row>
    <row r="45" spans="1:7" ht="12.75">
      <c r="A45" s="56" t="s">
        <v>409</v>
      </c>
      <c r="F45" s="235">
        <v>489280</v>
      </c>
      <c r="G45" s="146" t="s">
        <v>184</v>
      </c>
    </row>
    <row r="46" spans="1:7" ht="12.75">
      <c r="A46" s="17" t="s">
        <v>323</v>
      </c>
      <c r="B46" s="17"/>
      <c r="C46" s="17"/>
      <c r="D46" s="17"/>
      <c r="E46" s="17"/>
      <c r="F46" s="234">
        <f>SUM(F40:F45)</f>
        <v>6445611</v>
      </c>
      <c r="G46" s="17"/>
    </row>
    <row r="48" ht="12.75">
      <c r="A48" s="17" t="s">
        <v>400</v>
      </c>
    </row>
    <row r="49" spans="1:7" s="18" customFormat="1" ht="12.75">
      <c r="A49" s="182" t="s">
        <v>410</v>
      </c>
      <c r="F49" s="334">
        <v>475983</v>
      </c>
      <c r="G49" s="146" t="s">
        <v>184</v>
      </c>
    </row>
    <row r="50" spans="1:10" ht="12.75">
      <c r="A50" s="56" t="s">
        <v>325</v>
      </c>
      <c r="F50" s="235">
        <f>716010/2</f>
        <v>358005</v>
      </c>
      <c r="G50" s="146" t="s">
        <v>184</v>
      </c>
      <c r="J50" s="45"/>
    </row>
    <row r="51" spans="1:7" ht="12.75">
      <c r="A51" s="56" t="s">
        <v>411</v>
      </c>
      <c r="F51" s="235">
        <f>(393836/3)*2</f>
        <v>262557.3333333333</v>
      </c>
      <c r="G51" s="146" t="s">
        <v>184</v>
      </c>
    </row>
    <row r="52" spans="1:7" ht="12.75">
      <c r="A52" s="17" t="s">
        <v>329</v>
      </c>
      <c r="B52" s="17"/>
      <c r="C52" s="17"/>
      <c r="D52" s="17"/>
      <c r="E52" s="17"/>
      <c r="F52" s="234">
        <f>SUM(F49:F51)</f>
        <v>1096545.3333333333</v>
      </c>
      <c r="G52" s="17"/>
    </row>
    <row r="54" ht="12.75">
      <c r="A54" s="17" t="s">
        <v>401</v>
      </c>
    </row>
    <row r="55" spans="1:7" ht="12.75">
      <c r="A55" s="56" t="s">
        <v>331</v>
      </c>
      <c r="F55" s="235">
        <v>231931</v>
      </c>
      <c r="G55" s="146" t="s">
        <v>184</v>
      </c>
    </row>
    <row r="56" spans="1:7" ht="12.75">
      <c r="A56" s="56" t="s">
        <v>332</v>
      </c>
      <c r="F56" s="235">
        <v>541337</v>
      </c>
      <c r="G56" s="146" t="s">
        <v>184</v>
      </c>
    </row>
    <row r="57" spans="1:7" ht="12.75">
      <c r="A57" s="56" t="s">
        <v>333</v>
      </c>
      <c r="F57" s="235">
        <v>325900</v>
      </c>
      <c r="G57" s="146" t="s">
        <v>184</v>
      </c>
    </row>
    <row r="58" spans="1:7" ht="12.75">
      <c r="A58" s="56" t="s">
        <v>412</v>
      </c>
      <c r="F58" s="235">
        <v>163781</v>
      </c>
      <c r="G58" s="146" t="s">
        <v>184</v>
      </c>
    </row>
    <row r="59" spans="1:7" ht="12.75">
      <c r="A59" s="56" t="s">
        <v>413</v>
      </c>
      <c r="F59" s="235">
        <v>639193</v>
      </c>
      <c r="G59" s="146" t="s">
        <v>184</v>
      </c>
    </row>
    <row r="60" spans="1:7" ht="12.75">
      <c r="A60" s="56" t="s">
        <v>414</v>
      </c>
      <c r="F60" s="235">
        <v>327696</v>
      </c>
      <c r="G60" s="146" t="s">
        <v>184</v>
      </c>
    </row>
    <row r="61" spans="1:7" ht="12.75">
      <c r="A61" s="56" t="s">
        <v>415</v>
      </c>
      <c r="F61" s="235">
        <v>40571</v>
      </c>
      <c r="G61" s="146" t="s">
        <v>184</v>
      </c>
    </row>
    <row r="62" spans="1:7" ht="12.75">
      <c r="A62" s="17" t="s">
        <v>334</v>
      </c>
      <c r="B62" s="17"/>
      <c r="C62" s="17"/>
      <c r="D62" s="17"/>
      <c r="E62" s="17"/>
      <c r="F62" s="234">
        <f>SUM(F55:F61)</f>
        <v>2270409</v>
      </c>
      <c r="G62" s="17"/>
    </row>
    <row r="64" spans="1:7" ht="12.75">
      <c r="A64" s="17" t="s">
        <v>335</v>
      </c>
      <c r="B64" s="17"/>
      <c r="C64" s="17"/>
      <c r="D64" s="17"/>
      <c r="E64" s="17"/>
      <c r="F64" s="234">
        <f>F62+F52+F46</f>
        <v>9812565.333333332</v>
      </c>
      <c r="G64" s="17"/>
    </row>
    <row r="66" spans="1:6" ht="12.75">
      <c r="A66" s="17" t="s">
        <v>416</v>
      </c>
      <c r="F66" s="232">
        <f>J12</f>
        <v>5410383</v>
      </c>
    </row>
    <row r="67" spans="1:6" ht="12.75">
      <c r="A67" s="56" t="s">
        <v>337</v>
      </c>
      <c r="F67" s="232">
        <f>F64</f>
        <v>9812565.333333332</v>
      </c>
    </row>
    <row r="68" spans="1:6" ht="12.75">
      <c r="A68" s="17" t="s">
        <v>417</v>
      </c>
      <c r="F68" s="234">
        <f>F66-F67</f>
        <v>-4402182.333333332</v>
      </c>
    </row>
  </sheetData>
  <sheetProtection/>
  <mergeCells count="3">
    <mergeCell ref="C2:T2"/>
    <mergeCell ref="C3:T3"/>
    <mergeCell ref="C4:T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AWSB Procurement Plan</dc:title>
  <dc:subject/>
  <dc:creator>Coast Water Services Board</dc:creator>
  <cp:keywords/>
  <dc:description/>
  <cp:lastModifiedBy>test</cp:lastModifiedBy>
  <cp:lastPrinted>2012-11-21T15:43:00Z</cp:lastPrinted>
  <dcterms:created xsi:type="dcterms:W3CDTF">2004-09-16T11:12:33Z</dcterms:created>
  <dcterms:modified xsi:type="dcterms:W3CDTF">2015-11-12T05:46:04Z</dcterms:modified>
  <cp:category/>
  <cp:version/>
  <cp:contentType/>
  <cp:contentStatus/>
</cp:coreProperties>
</file>